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9.xml.rels" ContentType="application/vnd.openxmlformats-package.relationships+xml"/>
  <Override PartName="/xl/drawings/_rels/drawing8.xml.rels" ContentType="application/vnd.openxmlformats-package.relationships+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FO One-Pager" sheetId="2" state="visible" r:id="rId4"/>
    <sheet name="Executive Summary" sheetId="3" state="visible" r:id="rId5"/>
    <sheet name="Your Case" sheetId="4" state="visible" r:id="rId6"/>
    <sheet name="Investment" sheetId="5" state="visible" r:id="rId7"/>
    <sheet name="CFO Appendix" sheetId="6" state="visible" r:id="rId8"/>
    <sheet name="Example" sheetId="7" state="visible" r:id="rId9"/>
    <sheet name="Library" sheetId="8" state="visible" r:id="rId10"/>
    <sheet name="Glossary" sheetId="9" state="visible" r:id="rId11"/>
  </sheets>
  <definedNames>
    <definedName function="false" hidden="false" localSheetId="1" name="_xlnm.Print_Area" vbProcedure="false">'CFO One-Pager'!$A$1:$H$43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<sst xmlns="http://schemas.openxmlformats.org/spreadsheetml/2006/main" count="2353" uniqueCount="835">
  <si>
    <t xml:space="preserve">The Business Case Method — Business Case Builder</t>
  </si>
  <si>
    <t xml:space="preserve">For project leads and Benefit Owners who need to convince a CFO. You answer plain questions; the sheet does the finance.</t>
  </si>
  <si>
    <t xml:space="preserve">Case Map — the whole case at a glance. Click a tab name to go there.</t>
  </si>
  <si>
    <t xml:space="preserve">Tab</t>
  </si>
  <si>
    <t xml:space="preserve">What it is for</t>
  </si>
  <si>
    <t xml:space="preserve">Status now</t>
  </si>
  <si>
    <t xml:space="preserve">SEE IT — the plan, before you start</t>
  </si>
  <si>
    <t xml:space="preserve">A finished case for a fictional company — look here first.</t>
  </si>
  <si>
    <t xml:space="preserve">The lines the case is built on: problem, how often, what it costs, how sure.</t>
  </si>
  <si>
    <t xml:space="preserve">What it really costs — including your own team's time.</t>
  </si>
  <si>
    <t xml:space="preserve">The full summary for the decision — the answer, the range and the CFO check.</t>
  </si>
  <si>
    <t xml:space="preserve">One printable A4 page to hand the CFO — fills itself from the case.</t>
  </si>
  <si>
    <t xml:space="preserve">Every assumption and calculation, for the CFO to verify.</t>
  </si>
  <si>
    <t xml:space="preserve">STEER IT — follow up during the engagement</t>
  </si>
  <si>
    <t xml:space="preserve">Steer It</t>
  </si>
  <si>
    <t xml:space="preserve">Monthly update as real data arrives. The plan is never overwritten.</t>
  </si>
  <si>
    <t xml:space="preserve">KEEP IT — the harvest, after go-live</t>
  </si>
  <si>
    <t xml:space="preserve">Keep It</t>
  </si>
  <si>
    <t xml:space="preserve">What was actually realised, verified by the Benefit Owner.</t>
  </si>
  <si>
    <t xml:space="preserve">REFERENCE</t>
  </si>
  <si>
    <t xml:space="preserve">165 capabilities in 11 domains — the source of the choices in Your Case.</t>
  </si>
  <si>
    <t xml:space="preserve">Every term explained in one sentence.</t>
  </si>
  <si>
    <t xml:space="preserve">The foundation — where every business case starts</t>
  </si>
  <si>
    <t xml:space="preserve">Every master-data domain is broken into Business Processes, Platforms &amp; Tools and People &amp; Competencies — five capabilities each. Fixed and comparable by design, not an endless list.</t>
  </si>
  <si>
    <t xml:space="preserve">Capability unit</t>
  </si>
  <si>
    <t xml:space="preserve">Readiness Score (SEE IT) + AI housekeeping (STEER IT) + certified competence (KEEP IT). Two are built once and reused in every domain; only the Readiness Score changes per domain.</t>
  </si>
  <si>
    <t xml:space="preserve">Capabilities tracked by a Readiness Score · AI housekeeping candidates · capabilities that need certified competence.</t>
  </si>
  <si>
    <t xml:space="preserve">Why it matters</t>
  </si>
  <si>
    <t xml:space="preserve">Every line in Your Case is chosen from the 165 — no blank page, comparable across domains, honest about AI, and no double counting.</t>
  </si>
  <si>
    <t xml:space="preserve">How to use it — four steps</t>
  </si>
  <si>
    <t xml:space="preserve">1</t>
  </si>
  <si>
    <t xml:space="preserve">Look at the Example tab</t>
  </si>
  <si>
    <t xml:space="preserve">A finished case for a fictional company, with invented numbers. Five minutes there saves an hour later.</t>
  </si>
  <si>
    <t xml:space="preserve">2</t>
  </si>
  <si>
    <t xml:space="preserve">Build Your Case</t>
  </si>
  <si>
    <t xml:space="preserve">Choose a domain, then a capability (up to 25 lines), and answer the light-blue questions in steps ① to ⑦: the problem, how often it happens, what it costs each time, how much of it you will remove, how sure you are, and who owns it. Click any light-blue cell for a short help text. At the end of each line you get the line in one sentence, its strength (A/B/C) and the question the CFO is likely to ask.</t>
  </si>
  <si>
    <t xml:space="preserve">3</t>
  </si>
  <si>
    <t xml:space="preserve">Fill in the Investment</t>
  </si>
  <si>
    <t xml:space="preserve">What it costs to get the benefits — including your own team's time. A CFO will ask.</t>
  </si>
  <si>
    <t xml:space="preserve">4</t>
  </si>
  <si>
    <t xml:space="preserve">Read the Executive Summary</t>
  </si>
  <si>
    <t xml:space="preserve">The answer in one sentence, the scenario range and the 'Ready for the CFO?' check. Fix what it flags, then take it to your CFO. The CFO Appendix holds every assumption and calculation for the CFO to verify.</t>
  </si>
  <si>
    <t xml:space="preserve">After approval</t>
  </si>
  <si>
    <t xml:space="preserve">The full edition adds Steer It (monthly follow-up as real data arrives) and Keep It (the harvest, verified by the Benefit Owner) — included when you work with BenefitPartner.</t>
  </si>
  <si>
    <t xml:space="preserve">Colour code</t>
  </si>
  <si>
    <t xml:space="preserve">Light-blue cell, blue text</t>
  </si>
  <si>
    <t xml:space="preserve">You fill it in.</t>
  </si>
  <si>
    <t xml:space="preserve">White cell, black text</t>
  </si>
  <si>
    <t xml:space="preserve">Calculated — do not type here.</t>
  </si>
  <si>
    <t xml:space="preserve">White cell, green text</t>
  </si>
  <si>
    <t xml:space="preserve">Pulled from another tab.</t>
  </si>
  <si>
    <t xml:space="preserve">OK</t>
  </si>
  <si>
    <t xml:space="preserve">A check that passes.</t>
  </si>
  <si>
    <t xml:space="preserve">Fix</t>
  </si>
  <si>
    <t xml:space="preserve">A check that needs attention.</t>
  </si>
  <si>
    <t xml:space="preserve">The method — SEE IT · STEER IT · KEEP IT</t>
  </si>
  <si>
    <t xml:space="preserve">SEE IT</t>
  </si>
  <si>
    <t xml:space="preserve">Baseline — the plan, written with the Benefit Owner before the engagement starts.</t>
  </si>
  <si>
    <t xml:space="preserve">STEER IT</t>
  </si>
  <si>
    <t xml:space="preserve">Cadence — monthly follow-up; the plan is never overwritten, changes are tracked.</t>
  </si>
  <si>
    <t xml:space="preserve">KEEP IT</t>
  </si>
  <si>
    <t xml:space="preserve">Harvest — the proof, verified by the Benefit Owner and measured against the original plan.</t>
  </si>
  <si>
    <t xml:space="preserve">The three roles</t>
  </si>
  <si>
    <t xml:space="preserve">Benefit Owner</t>
  </si>
  <si>
    <t xml:space="preserve">Anchored in the business. Owns the benefit and is accountable for it being realised in operations. Verifies the harvest.</t>
  </si>
  <si>
    <t xml:space="preserve">Benefit Owner Trainee</t>
  </si>
  <si>
    <t xml:space="preserve">Internal successor. Ensures data, follow-up and structure, and over time runs the monthly cadence internally.</t>
  </si>
  <si>
    <t xml:space="preserve">Benefit Partner</t>
  </si>
  <si>
    <t xml:space="preserve">BenefitPartner's role: facilitator and driver across all lines — drives the plan and the cadence, and steps back at the harvest so the business owns it.</t>
  </si>
  <si>
    <t xml:space="preserve">Built on The Business Case Method — benefitpartner.dk · Free edition (SEE IT), 30 September 2026</t>
  </si>
  <si>
    <t xml:space="preserve">Business Case — CFO One-Pager</t>
  </si>
  <si>
    <t xml:space="preserve">THE ANSWER</t>
  </si>
  <si>
    <t xml:space="preserve">KEY NUMBERS</t>
  </si>
  <si>
    <t xml:space="preserve">PAYBACK — BASE CASE</t>
  </si>
  <si>
    <t xml:space="preserve">PAYBACK — THE FLOOR</t>
  </si>
  <si>
    <t xml:space="preserve">ONE-OFF INVESTMENT (EUR)</t>
  </si>
  <si>
    <t xml:space="preserve">YEARLY BENEFIT (EUR)</t>
  </si>
  <si>
    <t xml:space="preserve">VERDICT</t>
  </si>
  <si>
    <t xml:space="preserve">THE RANGE — NOT ONE NUMBER</t>
  </si>
  <si>
    <t xml:space="preserve">Scenario</t>
  </si>
  <si>
    <t xml:space="preserve">Payback</t>
  </si>
  <si>
    <t xml:space="preserve">3-year net value (EUR)</t>
  </si>
  <si>
    <t xml:space="preserve">What it means</t>
  </si>
  <si>
    <t xml:space="preserve">Conservative</t>
  </si>
  <si>
    <t xml:space="preserve">The floor: only measured, bottom-line benefits.</t>
  </si>
  <si>
    <t xml:space="preserve">Base Case</t>
  </si>
  <si>
    <t xml:space="preserve">The plan: all benefits, weighted by how sure.</t>
  </si>
  <si>
    <t xml:space="preserve">Full Upside</t>
  </si>
  <si>
    <t xml:space="preserve">The ceiling if everything lands — not a forecast.</t>
  </si>
  <si>
    <t xml:space="preserve">Stress Test</t>
  </si>
  <si>
    <t xml:space="preserve">The Base Case with benefits 20% lower.</t>
  </si>
  <si>
    <t xml:space="preserve">HOW SURE ARE WE?</t>
  </si>
  <si>
    <t xml:space="preserve">Measured counts in full, a qualified estimate at 70%, a gut feeling at 40%.  A = measured and on the bottom line · B = estimated or indirect · C = gut feeling.</t>
  </si>
  <si>
    <t xml:space="preserve">THE LINES THAT CARRY THE CASE — TOP 3</t>
  </si>
  <si>
    <t xml:space="preserve">Capability</t>
  </si>
  <si>
    <t xml:space="preserve">Risk-adjusted (EUR/yr)</t>
  </si>
  <si>
    <t xml:space="preserve">Strength</t>
  </si>
  <si>
    <t xml:space="preserve">WHAT WE ASK FOR</t>
  </si>
  <si>
    <t xml:space="preserve">Decision requested</t>
  </si>
  <si>
    <t xml:space="preserve">Cost of waiting</t>
  </si>
  <si>
    <t xml:space="preserve">READY FOR THE CFO?</t>
  </si>
  <si>
    <t xml:space="preserve">Every number on this page is calculated in the Business Case Builder — the CFO Appendix shows each assumption and calculation. Built on The Business Case Method · benefitpartner.dk</t>
  </si>
  <si>
    <t xml:space="preserve">Business Case — Executive Summary</t>
  </si>
  <si>
    <t xml:space="preserve">One page for the decision. Everything on this page is calculated from Your Case, Investment and the CFO Appendix.</t>
  </si>
  <si>
    <t xml:space="preserve">About this case</t>
  </si>
  <si>
    <t xml:space="preserve">Case name</t>
  </si>
  <si>
    <t xml:space="preserve">Organisation</t>
  </si>
  <si>
    <t xml:space="preserve">Prepared by (project lead)</t>
  </si>
  <si>
    <t xml:space="preserve">Date</t>
  </si>
  <si>
    <t xml:space="preserve">The answer in one sentence</t>
  </si>
  <si>
    <t xml:space="preserve">Key numbers (Base Case)</t>
  </si>
  <si>
    <t xml:space="preserve">Total cost over 3 years (EUR)</t>
  </si>
  <si>
    <t xml:space="preserve">Yearly benefit at full effect (EUR)</t>
  </si>
  <si>
    <t xml:space="preserve">Payback (months)</t>
  </si>
  <si>
    <t xml:space="preserve">Verdict</t>
  </si>
  <si>
    <t xml:space="preserve">The lines that carry the case — top 5</t>
  </si>
  <si>
    <t xml:space="preserve">Risk-adjusted yearly benefit (EUR)</t>
  </si>
  <si>
    <t xml:space="preserve">The line in one sentence</t>
  </si>
  <si>
    <t xml:space="preserve">Scenario range — the range, not one number</t>
  </si>
  <si>
    <t xml:space="preserve">The expected case: all benefits, weighted by sureness.</t>
  </si>
  <si>
    <t xml:space="preserve">Base Case if benefits come in lower than expected.</t>
  </si>
  <si>
    <t xml:space="preserve">Ready for the CFO?</t>
  </si>
  <si>
    <t xml:space="preserve">Check</t>
  </si>
  <si>
    <t xml:space="preserve">Status</t>
  </si>
  <si>
    <t xml:space="preserve">How to fix</t>
  </si>
  <si>
    <t xml:space="preserve">At least one line in the case</t>
  </si>
  <si>
    <t xml:space="preserve">Add capabilities in Your Case.</t>
  </si>
  <si>
    <t xml:space="preserve">All lines complete</t>
  </si>
  <si>
    <t xml:space="preserve">Answer every light-blue question on each line.</t>
  </si>
  <si>
    <t xml:space="preserve">Every number has a source</t>
  </si>
  <si>
    <t xml:space="preserve">Fill in 'Where does that number come from?'</t>
  </si>
  <si>
    <t xml:space="preserve">No benefit counted twice</t>
  </si>
  <si>
    <t xml:space="preserve">Merge or remove lines marked as sharing a benefit.</t>
  </si>
  <si>
    <t xml:space="preserve">Every line has a Benefit Owner</t>
  </si>
  <si>
    <t xml:space="preserve">Name the person in the business who owns each benefit.</t>
  </si>
  <si>
    <t xml:space="preserve">Your own team's time is in the investment</t>
  </si>
  <si>
    <t xml:space="preserve">Fill in Investment, section B.</t>
  </si>
  <si>
    <t xml:space="preserve">All assumptions filled in</t>
  </si>
  <si>
    <t xml:space="preserve">Check CFO Appendix, section 1.</t>
  </si>
  <si>
    <t xml:space="preserve">Top risks — and how we handle them</t>
  </si>
  <si>
    <t xml:space="preserve">Risk</t>
  </si>
  <si>
    <t xml:space="preserve">How we handle it</t>
  </si>
  <si>
    <t xml:space="preserve">Adoption — the solution is delivered but not used in daily work</t>
  </si>
  <si>
    <t xml:space="preserve">Follow up on actual use every month, not just delivery. A named person follows up day to day.</t>
  </si>
  <si>
    <t xml:space="preserve">Data — we cannot get clean numbers in time</t>
  </si>
  <si>
    <t xml:space="preserve">Lines stay 'Qualified estimate' or 'Gut feeling' (lower weight) until real data is in. Nothing is shown as measured without evidence.</t>
  </si>
  <si>
    <t xml:space="preserve">People — the Benefit Owner or Trainee is not freed up</t>
  </si>
  <si>
    <t xml:space="preserve">Named owners per line and own time in the investment make the resourcing ask explicit from day one.</t>
  </si>
  <si>
    <t xml:space="preserve">Governance — numbers change without a trail</t>
  </si>
  <si>
    <t xml:space="preserve">Every update is logged as a new entry. The original plan in Your Case is never overwritten.</t>
  </si>
  <si>
    <t xml:space="preserve">Decision and commitment</t>
  </si>
  <si>
    <t xml:space="preserve">Decision requested (what are we asking to be approved?)</t>
  </si>
  <si>
    <t xml:space="preserve">Requested by</t>
  </si>
  <si>
    <t xml:space="preserve">Benefit Owner — 'I stand behind the benefits in this case' (name)</t>
  </si>
  <si>
    <t xml:space="preserve">Approved by</t>
  </si>
  <si>
    <t xml:space="preserve">Approval date</t>
  </si>
  <si>
    <t xml:space="preserve">Conditions attached to the approval</t>
  </si>
  <si>
    <t xml:space="preserve">Your Case — SEE IT (the plan, before you start)</t>
  </si>
  <si>
    <t xml:space="preserve">RISK-ADJ. BENEFIT / YEAR (€)</t>
  </si>
  <si>
    <t xml:space="preserve">PAYBACK · LINES · CFO CHECK</t>
  </si>
  <si>
    <t xml:space="preserve">EVIDENCE MIX — how solid is the value?</t>
  </si>
  <si>
    <t xml:space="preserve">One line per capability, up to 25. Work left to right through steps ① to ⑦ — click a light-blue cell for a short help text. A good case has 5–10 strong, well-sourced lines. Do not sort or delete rows — to remove a line, clear its light-blue cells. See the Example tab for a finished case.</t>
  </si>
  <si>
    <t xml:space="preserve">① CHOOSE</t>
  </si>
  <si>
    <t xml:space="preserve">② THE PROBLEM</t>
  </si>
  <si>
    <t xml:space="preserve">③ HOW OFTEN</t>
  </si>
  <si>
    <t xml:space="preserve">④ WHAT IT COSTS</t>
  </si>
  <si>
    <t xml:space="preserve">⑤ HOW MUCH, HOW SURE</t>
  </si>
  <si>
    <t xml:space="preserve">⑥ CHECK</t>
  </si>
  <si>
    <t xml:space="preserve">⑦ OWNER</t>
  </si>
  <si>
    <t xml:space="preserve">CALCULATED — do not type here</t>
  </si>
  <si>
    <t xml:space="preserve">ID</t>
  </si>
  <si>
    <t xml:space="preserve">Domain
(choose)</t>
  </si>
  <si>
    <t xml:space="preserve">Capability
(choose — list follows the domain)</t>
  </si>
  <si>
    <t xml:space="preserve">Component</t>
  </si>
  <si>
    <t xml:space="preserve">Method element</t>
  </si>
  <si>
    <t xml:space="preserve">Suggestion from the Library
(wording and what to count)</t>
  </si>
  <si>
    <t xml:space="preserve">What problem do we solve?
(your own words)</t>
  </si>
  <si>
    <t xml:space="preserve">What do we count?
(e.g. blocked invoices)</t>
  </si>
  <si>
    <t xml:space="preserve">How many times per year?
(e.g. 400)</t>
  </si>
  <si>
    <t xml:space="preserve">Where does that number come from?
(e.g. SAP log, 12 months)</t>
  </si>
  <si>
    <t xml:space="preserve">What does it cost each time? (EUR)</t>
  </si>
  <si>
    <t xml:space="preserve">…or: minutes each time</t>
  </si>
  <si>
    <t xml:space="preserve">…and hourly rate (EUR)</t>
  </si>
  <si>
    <t xml:space="preserve">Where does the cost come from?</t>
  </si>
  <si>
    <t xml:space="preserve">How much of the problem will we remove?
(e.g. 70%)</t>
  </si>
  <si>
    <t xml:space="preserve">How sure are you?</t>
  </si>
  <si>
    <t xml:space="preserve">Visible on the bottom line?
(Yes/No)</t>
  </si>
  <si>
    <t xml:space="preserve">Shares a benefit with another line?
(Yes/No)</t>
  </si>
  <si>
    <t xml:space="preserve">If yes: which line, and why?</t>
  </si>
  <si>
    <t xml:space="preserve">Benefit Owner
(name)</t>
  </si>
  <si>
    <t xml:space="preserve">Cost each time used (EUR)</t>
  </si>
  <si>
    <t xml:space="preserve">Yearly benefit (EUR)</t>
  </si>
  <si>
    <t xml:space="preserve">Risk weight</t>
  </si>
  <si>
    <t xml:space="preserve">Line status</t>
  </si>
  <si>
    <t xml:space="preserve">Strength
(A/B/C)</t>
  </si>
  <si>
    <t xml:space="preserve">The line in one sentence
(copy it into your mail or deck)</t>
  </si>
  <si>
    <t xml:space="preserve">What the CFO will ask</t>
  </si>
  <si>
    <t xml:space="preserve">helper: missing</t>
  </si>
  <si>
    <t xml:space="preserve">helper: library row</t>
  </si>
  <si>
    <t xml:space="preserve">helper: CFO hints</t>
  </si>
  <si>
    <t xml:space="preserve">helper: rank</t>
  </si>
  <si>
    <t xml:space="preserve">L01</t>
  </si>
  <si>
    <t xml:space="preserve">L02</t>
  </si>
  <si>
    <t xml:space="preserve">L03</t>
  </si>
  <si>
    <t xml:space="preserve">L04</t>
  </si>
  <si>
    <t xml:space="preserve">L05</t>
  </si>
  <si>
    <t xml:space="preserve">L06</t>
  </si>
  <si>
    <t xml:space="preserve">L07</t>
  </si>
  <si>
    <t xml:space="preserve">L08</t>
  </si>
  <si>
    <t xml:space="preserve">L09</t>
  </si>
  <si>
    <t xml:space="preserve">L10</t>
  </si>
  <si>
    <t xml:space="preserve">L11</t>
  </si>
  <si>
    <t xml:space="preserve">L12</t>
  </si>
  <si>
    <t xml:space="preserve">L13</t>
  </si>
  <si>
    <t xml:space="preserve">L14</t>
  </si>
  <si>
    <t xml:space="preserve">L15</t>
  </si>
  <si>
    <t xml:space="preserve">L16</t>
  </si>
  <si>
    <t xml:space="preserve">L17</t>
  </si>
  <si>
    <t xml:space="preserve">L18</t>
  </si>
  <si>
    <t xml:space="preserve">L19</t>
  </si>
  <si>
    <t xml:space="preserve">L20</t>
  </si>
  <si>
    <t xml:space="preserve">L21</t>
  </si>
  <si>
    <t xml:space="preserve">L22</t>
  </si>
  <si>
    <t xml:space="preserve">L23</t>
  </si>
  <si>
    <t xml:space="preserve">L24</t>
  </si>
  <si>
    <t xml:space="preserve">L25</t>
  </si>
  <si>
    <t xml:space="preserve">Total</t>
  </si>
  <si>
    <t xml:space="preserve">Investment — what it really costs</t>
  </si>
  <si>
    <t xml:space="preserve">Include your own team's time: a CFO will ask. Light-blue cells are yours to fill in; totals calculate themselves.</t>
  </si>
  <si>
    <t xml:space="preserve">A. BenefitPartner packages (one-off)</t>
  </si>
  <si>
    <t xml:space="preserve">Package</t>
  </si>
  <si>
    <t xml:space="preserve">Step in the delivery</t>
  </si>
  <si>
    <t xml:space="preserve">Include? (Yes/No)</t>
  </si>
  <si>
    <t xml:space="preserve">Price (DKK)</t>
  </si>
  <si>
    <t xml:space="preserve">Price (EUR)</t>
  </si>
  <si>
    <t xml:space="preserve">Insight — Where do we stand?</t>
  </si>
  <si>
    <t xml:space="preserve">Step 1 · Assess &amp; baseline (SEE IT)</t>
  </si>
  <si>
    <t xml:space="preserve">No</t>
  </si>
  <si>
    <t xml:space="preserve">Business Case — Is it worth it?</t>
  </si>
  <si>
    <t xml:space="preserve">Step 2 · Pilot (STEER IT)</t>
  </si>
  <si>
    <t xml:space="preserve">Value Realisation — Are we ready to deliver?</t>
  </si>
  <si>
    <t xml:space="preserve">Step 3 · Recommend &amp; scale (KEEP IT)</t>
  </si>
  <si>
    <t xml:space="preserve">Harvest — Did the value land?</t>
  </si>
  <si>
    <t xml:space="preserve">After go-live · 3 months Steer It + Keep It harvest</t>
  </si>
  <si>
    <t xml:space="preserve">Subtotal packages</t>
  </si>
  <si>
    <t xml:space="preserve">Each package ends in a decision: Insight → which domain and needs; Business Case → does the investment hold; Value Realisation → ready to deliver; Harvest (optional) → the value proven, signed by the Benefit Owner. Prices: benefitpartner.dk. EUR = DKK ÷ rate (CFO Appendix).</t>
  </si>
  <si>
    <t xml:space="preserve">B. Your own team's time (one-off)</t>
  </si>
  <si>
    <t xml:space="preserve">Role</t>
  </si>
  <si>
    <t xml:space="preserve">Number of people</t>
  </si>
  <si>
    <t xml:space="preserve">Hours per person</t>
  </si>
  <si>
    <t xml:space="preserve">Hourly rate, fully loaded (EUR)</t>
  </si>
  <si>
    <t xml:space="preserve">Total (EUR)</t>
  </si>
  <si>
    <t xml:space="preserve">Project team</t>
  </si>
  <si>
    <t xml:space="preserve">IT / SAP support</t>
  </si>
  <si>
    <t xml:space="preserve">Subtotal own time</t>
  </si>
  <si>
    <t xml:space="preserve">C. Other one-off costs</t>
  </si>
  <si>
    <t xml:space="preserve">Item</t>
  </si>
  <si>
    <t xml:space="preserve">Amount (EUR)</t>
  </si>
  <si>
    <t xml:space="preserve">External consultants / specialists</t>
  </si>
  <si>
    <t xml:space="preserve">Software &amp; licences (one-off)</t>
  </si>
  <si>
    <t xml:space="preserve">Other</t>
  </si>
  <si>
    <t xml:space="preserve">Subtotal other one-off</t>
  </si>
  <si>
    <t xml:space="preserve">D. Running costs per year</t>
  </si>
  <si>
    <t xml:space="preserve">Amount per year (EUR)</t>
  </si>
  <si>
    <t xml:space="preserve">Licences / subscriptions</t>
  </si>
  <si>
    <t xml:space="preserve">Support &amp; maintenance</t>
  </si>
  <si>
    <t xml:space="preserve">Subtotal running per year</t>
  </si>
  <si>
    <t xml:space="preserve">Summary</t>
  </si>
  <si>
    <t xml:space="preserve">One-off investment (A + B + C)</t>
  </si>
  <si>
    <t xml:space="preserve">Running costs per year (D)</t>
  </si>
  <si>
    <t xml:space="preserve">Total cost over 3 years</t>
  </si>
  <si>
    <t xml:space="preserve">CFO Appendix — assumptions, scenarios and checks</t>
  </si>
  <si>
    <t xml:space="preserve">Everything a CFO will want to verify, in one place. Light-blue cells are assumptions you may change; everything else is calculated from Your Case and Investment.</t>
  </si>
  <si>
    <t xml:space="preserve">1. Assumptions</t>
  </si>
  <si>
    <t xml:space="preserve">Assumption</t>
  </si>
  <si>
    <t xml:space="preserve">Value</t>
  </si>
  <si>
    <t xml:space="preserve">Measured in our systems</t>
  </si>
  <si>
    <t xml:space="preserve">Risk weight when the number is measured in your own systems (finance term: Confirmed). Counted in full.</t>
  </si>
  <si>
    <t xml:space="preserve">Qualified estimate</t>
  </si>
  <si>
    <t xml:space="preserve">Risk weight for a qualified estimate from people who know the process (finance term: Estimated).</t>
  </si>
  <si>
    <t xml:space="preserve">Gut feeling</t>
  </si>
  <si>
    <t xml:space="preserve">Risk weight for a gut feeling, not yet backed by data (finance term: Directional).</t>
  </si>
  <si>
    <t xml:space="preserve">Ramp-up, Year 1 (share of full yearly effect)</t>
  </si>
  <si>
    <t xml:space="preserve">Benefits rarely start on day one. In Year 1 you get this share of the full yearly benefit.</t>
  </si>
  <si>
    <t xml:space="preserve">Ramp-up, Year 2</t>
  </si>
  <si>
    <t xml:space="preserve">Share of the full yearly benefit achieved in Year 2.</t>
  </si>
  <si>
    <t xml:space="preserve">Ramp-up, Year 3</t>
  </si>
  <si>
    <t xml:space="preserve">Share of the full yearly benefit achieved in Year 3 (normally 100% = full effect).</t>
  </si>
  <si>
    <t xml:space="preserve">Stress test — benefits lower by</t>
  </si>
  <si>
    <t xml:space="preserve">The 'what if it's less than we think?' test: Base Case reduced by this share.</t>
  </si>
  <si>
    <t xml:space="preserve">Payback target (months)</t>
  </si>
  <si>
    <t xml:space="preserve">What your organisation considers an acceptable payback. Drives the verdict on the Executive Summary.</t>
  </si>
  <si>
    <t xml:space="preserve">DKK → EUR rate</t>
  </si>
  <si>
    <t xml:space="preserve">Used to convert BenefitPartner package prices. Approx. 7.46 (Denmark's ERM II link to the euro).</t>
  </si>
  <si>
    <t xml:space="preserve">2. Scenarios — the range, not one number</t>
  </si>
  <si>
    <t xml:space="preserve">Conservative = only benefits that are both measured in your systems AND visible on the bottom line (the floor). Base Case = all benefits, weighted by how sure you are. Full Upside = all benefits at face value (the ceiling, not a forecast). Stress Test = Base Case minus the stress share. Cash is shown cumulatively: the one-off investment is paid at the start, benefits and running costs follow year by year.</t>
  </si>
  <si>
    <t xml:space="preserve">Metric</t>
  </si>
  <si>
    <t xml:space="preserve">What is counted</t>
  </si>
  <si>
    <t xml:space="preserve">Measured + bottom line only</t>
  </si>
  <si>
    <t xml:space="preserve">All, weighted by sureness</t>
  </si>
  <si>
    <t xml:space="preserve">All, at face value</t>
  </si>
  <si>
    <t xml:space="preserve">Base Case − stress share</t>
  </si>
  <si>
    <t xml:space="preserve">Benefit, Year 1 (EUR)</t>
  </si>
  <si>
    <t xml:space="preserve">Benefit, Year 2 (EUR)</t>
  </si>
  <si>
    <t xml:space="preserve">Benefit, Year 3 (EUR)</t>
  </si>
  <si>
    <t xml:space="preserve">One-off investment (EUR)</t>
  </si>
  <si>
    <t xml:space="preserve">Running costs per year (EUR)</t>
  </si>
  <si>
    <t xml:space="preserve">Cumulative cash, end of Year 1 (EUR)</t>
  </si>
  <si>
    <t xml:space="preserve">Cumulative cash, end of Year 2 (EUR)</t>
  </si>
  <si>
    <t xml:space="preserve">Cumulative cash, end of Year 3 (EUR)</t>
  </si>
  <si>
    <t xml:space="preserve">3-year benefit ÷ 3-year cost</t>
  </si>
  <si>
    <t xml:space="preserve">3. Data integrity &amp; completeness</t>
  </si>
  <si>
    <t xml:space="preserve">Result</t>
  </si>
  <si>
    <t xml:space="preserve">Lines in your case</t>
  </si>
  <si>
    <t xml:space="preserve">Fewer, well-documented lines beat many weak ones. Maximum 25.</t>
  </si>
  <si>
    <t xml:space="preserve">Lines complete</t>
  </si>
  <si>
    <t xml:space="preserve">A line counts only when every question is answered. Line status in Your Case says exactly what is missing.</t>
  </si>
  <si>
    <t xml:space="preserve">Lines marked as sharing a benefit with another line</t>
  </si>
  <si>
    <t xml:space="preserve">The same saving counted twice inflates the case. Merge or remove before the CFO sees it.</t>
  </si>
  <si>
    <t xml:space="preserve">Numbers without a source</t>
  </si>
  <si>
    <t xml:space="preserve">The first CFO question is 'where does that number come from?'</t>
  </si>
  <si>
    <t xml:space="preserve">Lines without a Benefit Owner</t>
  </si>
  <si>
    <t xml:space="preserve">Every benefit needs a named person in the business who stands behind it.</t>
  </si>
  <si>
    <t xml:space="preserve">4. Cost of inaction — what it costs to wait</t>
  </si>
  <si>
    <t xml:space="preserve">Note</t>
  </si>
  <si>
    <t xml:space="preserve">Hours per year spent on manual clean-up and error correction today</t>
  </si>
  <si>
    <t xml:space="preserve">Your own estimate or time study.</t>
  </si>
  <si>
    <t xml:space="preserve">Fully-loaded hourly rate (EUR)</t>
  </si>
  <si>
    <t xml:space="preserve">Salary + overhead per hour.</t>
  </si>
  <si>
    <t xml:space="preserve">Other yearly costs of the status quo (EUR)</t>
  </si>
  <si>
    <t xml:space="preserve">E.g. delayed deliveries, compliance fines, write-offs.</t>
  </si>
  <si>
    <t xml:space="preserve">Cost of inaction per year (EUR)</t>
  </si>
  <si>
    <t xml:space="preserve">Base Case benefit lost per month of delay (EUR)</t>
  </si>
  <si>
    <t xml:space="preserve">5. Questions your CFO will ask — and where the answer is</t>
  </si>
  <si>
    <t xml:space="preserve">Question</t>
  </si>
  <si>
    <t xml:space="preserve">Where the answer is</t>
  </si>
  <si>
    <t xml:space="preserve">Where do the numbers come from?</t>
  </si>
  <si>
    <t xml:space="preserve">Your Case, columns J and N — a source for every number.</t>
  </si>
  <si>
    <t xml:space="preserve">Your Case, column P — weighted by the risk weights in section 1.</t>
  </si>
  <si>
    <t xml:space="preserve">Is your own team's time included?</t>
  </si>
  <si>
    <t xml:space="preserve">Investment, section B.</t>
  </si>
  <si>
    <t xml:space="preserve">What if it's less than you think?</t>
  </si>
  <si>
    <t xml:space="preserve">Section 2: Conservative and Stress Test.</t>
  </si>
  <si>
    <t xml:space="preserve">Are any benefits counted twice?</t>
  </si>
  <si>
    <t xml:space="preserve">Your Case, column R, and section 3 above.</t>
  </si>
  <si>
    <t xml:space="preserve">Do you really remove the whole problem?</t>
  </si>
  <si>
    <t xml:space="preserve">No — Your Case, column O: the share of the problem the solution removes.</t>
  </si>
  <si>
    <t xml:space="preserve">When do we see the money?</t>
  </si>
  <si>
    <t xml:space="preserve">Ramp-up (section 1) and Payback (section 2).</t>
  </si>
  <si>
    <t xml:space="preserve">Who is accountable for the benefits?</t>
  </si>
  <si>
    <t xml:space="preserve">Benefit Owner per line (Your Case, column T) and the commitment on the Executive Summary.</t>
  </si>
  <si>
    <t xml:space="preserve">What does it cost to wait?</t>
  </si>
  <si>
    <t xml:space="preserve">Section 4: Cost of inaction.</t>
  </si>
  <si>
    <t xml:space="preserve">Example — Nordic Pumps A/S (fictional company, invented numbers)</t>
  </si>
  <si>
    <t xml:space="preserve">A finished case for illustration only — all figures are invented; never copy them into a real case. Read each line left to right, then look at the sentence, strength and CFO question at the end of the line. Same assumptions as the CFO Appendix.</t>
  </si>
  <si>
    <t xml:space="preserve">Customer</t>
  </si>
  <si>
    <t xml:space="preserve">Customer Validation</t>
  </si>
  <si>
    <t xml:space="preserve">Incomplete customer records block orders and invoices</t>
  </si>
  <si>
    <t xml:space="preserve">blocked orders &amp; invoices</t>
  </si>
  <si>
    <t xml:space="preserve">SAP block log, last 12 months</t>
  </si>
  <si>
    <t xml:space="preserve">Finance: average handling + delay cost</t>
  </si>
  <si>
    <t xml:space="preserve">Yes</t>
  </si>
  <si>
    <t xml:space="preserve">Head of Order-to-Cash</t>
  </si>
  <si>
    <t xml:space="preserve">Customer Duplicate Management</t>
  </si>
  <si>
    <t xml:space="preserve">Duplicate customers give wrong credit exposure and double handling</t>
  </si>
  <si>
    <t xml:space="preserve">duplicates merged</t>
  </si>
  <si>
    <t xml:space="preserve">SAP customer count, duplicate query</t>
  </si>
  <si>
    <t xml:space="preserve">Data team time study</t>
  </si>
  <si>
    <t xml:space="preserve">Head of Credit Management</t>
  </si>
  <si>
    <t xml:space="preserve">Customer Creation &amp; Maintenance</t>
  </si>
  <si>
    <t xml:space="preserve">New customer requests need manual rework before they can be used</t>
  </si>
  <si>
    <t xml:space="preserve">customer requests reworked</t>
  </si>
  <si>
    <t xml:space="preserve">Ticket system, last 12 months</t>
  </si>
  <si>
    <t xml:space="preserve">Shared service rate card</t>
  </si>
  <si>
    <t xml:space="preserve">Master Data Lead</t>
  </si>
  <si>
    <t xml:space="preserve">Customer Workflow &amp; Change Request Management</t>
  </si>
  <si>
    <t xml:space="preserve">Slow change requests delay first deliveries</t>
  </si>
  <si>
    <t xml:space="preserve">change requests</t>
  </si>
  <si>
    <t xml:space="preserve">Workflow log, last 12 months</t>
  </si>
  <si>
    <t xml:space="preserve">Estimate: waiting time in sales and service centre</t>
  </si>
  <si>
    <t xml:space="preserve">Customer Process Governance &amp; Compliance Monitoring</t>
  </si>
  <si>
    <t xml:space="preserve">Compliance deviations (VAT, sanctions) are found too late</t>
  </si>
  <si>
    <t xml:space="preserve">deviations caught earlier</t>
  </si>
  <si>
    <t xml:space="preserve">Compliance log</t>
  </si>
  <si>
    <t xml:space="preserve">Compliance team estimate incl. correction work</t>
  </si>
  <si>
    <t xml:space="preserve">Head of Compliance</t>
  </si>
  <si>
    <t xml:space="preserve">Enterprise Platform Management</t>
  </si>
  <si>
    <t xml:space="preserve">IT support tickets the team cannot solve itself — firefighting instead of fixing the root cause</t>
  </si>
  <si>
    <t xml:space="preserve">IT support tickets</t>
  </si>
  <si>
    <t xml:space="preserve">Estimate from team lead — not yet counted</t>
  </si>
  <si>
    <t xml:space="preserve">IT service rate: 1.75 hours × €60 per ticket</t>
  </si>
  <si>
    <t xml:space="preserve">Head of Master Data</t>
  </si>
  <si>
    <t xml:space="preserve">Customer Master Data Expertise</t>
  </si>
  <si>
    <t xml:space="preserve">8 local specialists hold regional exceptions by hand — the knowledge sits with very few people</t>
  </si>
  <si>
    <t xml:space="preserve">specialist hours on exceptions</t>
  </si>
  <si>
    <t xml:space="preserve">Time registration, 8 local specialists (estimate)</t>
  </si>
  <si>
    <t xml:space="preserve">Fully-loaded specialist rate</t>
  </si>
  <si>
    <t xml:space="preserve">Example investment</t>
  </si>
  <si>
    <t xml:space="preserve">BenefitPartner packages — all four, incl. Harvest (EUR)</t>
  </si>
  <si>
    <t xml:space="preserve">Own team's time: 2 people × 200 hours × €60</t>
  </si>
  <si>
    <t xml:space="preserve">External AI / ERP Housekeeping consultant</t>
  </si>
  <si>
    <t xml:space="preserve">One-off investment</t>
  </si>
  <si>
    <t xml:space="preserve">Running costs per year (licence)</t>
  </si>
  <si>
    <t xml:space="preserve">Example result (same logic as the CFO Appendix)</t>
  </si>
  <si>
    <t xml:space="preserve">Benefit Year 1</t>
  </si>
  <si>
    <t xml:space="preserve">Benefit Year 2</t>
  </si>
  <si>
    <t xml:space="preserve">Benefit Year 3</t>
  </si>
  <si>
    <t xml:space="preserve">Running costs per year</t>
  </si>
  <si>
    <t xml:space="preserve">Cumulative cash, end Year 1</t>
  </si>
  <si>
    <t xml:space="preserve">Cumulative cash, end Year 2</t>
  </si>
  <si>
    <t xml:space="preserve">Cumulative cash, end Year 3</t>
  </si>
  <si>
    <t xml:space="preserve">The answer in one sentence:</t>
  </si>
  <si>
    <t xml:space="preserve">What to notice: the Base Case pays back well within the 24-month target, but the Conservative case does not — so the verdict is 'Depends on estimates'. The 600 IT support tickets are only estimated: count them in the ticket system and the line becomes measured — and the conservative floor meets the target.</t>
  </si>
  <si>
    <t xml:space="preserve">Capability Library — 165 capabilities, 11 domains</t>
  </si>
  <si>
    <t xml:space="preserve">The foundation: 11 domains × 3 components × 5 capabilities = 165. Reference only — do not sort this tab (Your Case relies on its order). Source: SAP Capability Heatmap. Suggested wording is a starting point — rewrite it in your own words.</t>
  </si>
  <si>
    <t xml:space="preserve">Pick name (used in Your Case)</t>
  </si>
  <si>
    <t xml:space="preserve">#</t>
  </si>
  <si>
    <t xml:space="preserve">Readiness Score (domain code)</t>
  </si>
  <si>
    <t xml:space="preserve">Domain</t>
  </si>
  <si>
    <t xml:space="preserve">SEE IT
(Readiness Score tracked)</t>
  </si>
  <si>
    <t xml:space="preserve">STEER IT
(AI Housekeeping candidate)</t>
  </si>
  <si>
    <t xml:space="preserve">KEEP IT
(Certified competence required)</t>
  </si>
  <si>
    <t xml:space="preserve">Suggested problem statement</t>
  </si>
  <si>
    <t xml:space="preserve">Suggested unit (what to count)</t>
  </si>
  <si>
    <t xml:space="preserve">Suggested: visible on bottom line?</t>
  </si>
  <si>
    <t xml:space="preserve">Suggested: how sure?</t>
  </si>
  <si>
    <t xml:space="preserve">STEER IT evidence — real AI vs. rule-based (source: SAP Capability Heatmap)</t>
  </si>
  <si>
    <t xml:space="preserve">SAP accountable role</t>
  </si>
  <si>
    <t xml:space="preserve">Domains (list for Your Case)</t>
  </si>
  <si>
    <t xml:space="preserve">CRS · Customer Creation &amp; Maintenance</t>
  </si>
  <si>
    <t xml:space="preserve">CRS</t>
  </si>
  <si>
    <t xml:space="preserve">Business Processes</t>
  </si>
  <si>
    <t xml:space="preserve">SAP Joule acts as an AI copilot when new or changed customer records are created — real AI support (not rule-based), catching input errors at the source before they reach operations.</t>
  </si>
  <si>
    <t xml:space="preserve">new/changed customer records created/year</t>
  </si>
  <si>
    <t xml:space="preserve">[Real AI] SAP-named: SAP Joule (AI copilot for MDG) — emerging conversational assistance, not full automation</t>
  </si>
  <si>
    <t xml:space="preserve">Domain Subject-Matter Expert</t>
  </si>
  <si>
    <t xml:space="preserve">CRS · Customer Validation</t>
  </si>
  <si>
    <t xml:space="preserve">Incomplete or non-compliant customer records are stopped by BRFplus business rules — a deterministic rule engine, not AI/ML. The value is the rule itself, enforced consistently — not an AI component, and that must be stated honestly if this line is used in a VP pitch on 'ERP Housekeeping with AI'.</t>
  </si>
  <si>
    <t xml:space="preserve">customer records validated/year</t>
  </si>
  <si>
    <t xml:space="preserve">[Rule-based / deterministic — NOT AI] Generic — SAP MDG BRFplus business rules — deterministic, not AI/ML-branded by SAP</t>
  </si>
  <si>
    <t xml:space="preserve">Data Steward</t>
  </si>
  <si>
    <t xml:space="preserve">Vendor</t>
  </si>
  <si>
    <t xml:space="preserve">CRS · Customer Duplicate Management</t>
  </si>
  <si>
    <t xml:space="preserve">Duplicates are caught by SAP HANA Fuzzy Search (Match &amp; Merge) — deterministic similarity matching, not AI/ML — so the same customer doesn't appear twice in order and credit history. Same caveat: technical housekeeping, not artificial intelligence.</t>
  </si>
  <si>
    <t xml:space="preserve">duplicates identified &amp; merged/year</t>
  </si>
  <si>
    <t xml:space="preserve">[Rule-based / deterministic — NOT AI] Generic — SAP HANA Fuzzy Search (MDG Match &amp; Merge) — deterministic similarity matching, not AI/ML-branded</t>
  </si>
  <si>
    <t xml:space="preserve">Material</t>
  </si>
  <si>
    <t xml:space="preserve">CRS · Customer Workflow &amp; Change Request Management</t>
  </si>
  <si>
    <t xml:space="preserve">Changes to customer master data are routed via SAP Business Workflow — rule-based routing with no confirmed AI logic. The real benefit is traceability (who requested, who approved), not AI.</t>
  </si>
  <si>
    <t xml:space="preserve">change requests processed/year</t>
  </si>
  <si>
    <t xml:space="preserve">[Rule-based / deterministic — NOT AI] Generic — SAP Business Workflow (rule-based routing) — no confirmed AI-driven approval logic</t>
  </si>
  <si>
    <t xml:space="preserve">Finance</t>
  </si>
  <si>
    <t xml:space="preserve">CRS · Customer Process Governance &amp; Compliance Monitoring</t>
  </si>
  <si>
    <t xml:space="preserve">Ongoing compliance monitoring after creation — today with no confirmed SAP AI/ML feature behind it. The value lies in the continuous control itself; no AI component should be claimed here.</t>
  </si>
  <si>
    <t xml:space="preserve">compliance deviations caught/year</t>
  </si>
  <si>
    <t xml:space="preserve">[Rule-based / deterministic — NOT AI] Generic — No confirmed SAP AI/ML feature for MDG compliance/process monitoring</t>
  </si>
  <si>
    <t xml:space="preserve">HR / Workforce</t>
  </si>
  <si>
    <t xml:space="preserve">CRS · Enterprise Platform Management</t>
  </si>
  <si>
    <t xml:space="preserve">Platforms &amp; Tools</t>
  </si>
  <si>
    <t xml:space="preserve">The MDG platform's own operation and configuration — no AI component, no housekeeping flag. The technical foundation the other 14 capabilities in the domain depend on.</t>
  </si>
  <si>
    <t xml:space="preserve">n/a — platform operations, not transaction-based</t>
  </si>
  <si>
    <t xml:space="preserve">— (not STEER IT-flagged)</t>
  </si>
  <si>
    <t xml:space="preserve">Asset</t>
  </si>
  <si>
    <t xml:space="preserve">CRS · Integration Services</t>
  </si>
  <si>
    <t xml:space="preserve">Integration Services</t>
  </si>
  <si>
    <t xml:space="preserve">Integration Advisor in SAP Integration Suite uses real ML to suggest data mappings between systems — genuine AI housekeeping that reduces manual mapping work on every new integration.</t>
  </si>
  <si>
    <t xml:space="preserve">system integrations/mappings maintained/year</t>
  </si>
  <si>
    <t xml:space="preserve">[Real AI] SAP-named: SAP Integration Suite — Integration Advisor (ML-based mapping suggestions)</t>
  </si>
  <si>
    <t xml:space="preserve">Supply Chain</t>
  </si>
  <si>
    <t xml:space="preserve">CRS · Workflow Automation</t>
  </si>
  <si>
    <t xml:space="preserve">Workflow Automation</t>
  </si>
  <si>
    <t xml:space="preserve">SAP Build Process Automation combines AI document recognition, anomaly detection and ML-based routing — the clearest example of genuine 'ERP Housekeeping with AI' in the Customer domain.</t>
  </si>
  <si>
    <t xml:space="preserve">automated approval/routing steps/year</t>
  </si>
  <si>
    <t xml:space="preserve">[Real AI] SAP-named: SAP Build Process Automation — AI capabilities (Intelligent Document Processing, anomaly detection, ML-based routing)</t>
  </si>
  <si>
    <t xml:space="preserve">Project</t>
  </si>
  <si>
    <t xml:space="preserve">CRS · Master Data Services</t>
  </si>
  <si>
    <t xml:space="preserve">Master Data Services</t>
  </si>
  <si>
    <t xml:space="preserve">The central master-data platform itself carries no named AI feature — it's an architectural umbrella category. The AI sits in the specific services underneath it (Integration Advisor, Fuzzy Search), not here — important to keep separate in a precise pitch.</t>
  </si>
  <si>
    <t xml:space="preserve">n/a — platform foundation, not transaction-based</t>
  </si>
  <si>
    <t xml:space="preserve">[Rule-based / deterministic — NOT AI] Generic — Architectural/umbrella platform category — no single SAP product carries this exact capability with a named AI feature</t>
  </si>
  <si>
    <t xml:space="preserve">Data Owner</t>
  </si>
  <si>
    <t xml:space="preserve">Quality &amp; Compliance</t>
  </si>
  <si>
    <t xml:space="preserve">CRS · AI Platform Services</t>
  </si>
  <si>
    <t xml:space="preserve">AI Platform Services</t>
  </si>
  <si>
    <t xml:space="preserve">SAP AI Core and AI Foundation are SAP's own, actively marketed AI platform — the closest the catalog comes to a pure AI-housekeeping capability. The foundation the rest of the domain's AI use is built on.</t>
  </si>
  <si>
    <t xml:space="preserve">[Real AI] SAP-named: SAP AI Core / SAP AI Foundation — the real, currently-marketed SAP Business AI platform family</t>
  </si>
  <si>
    <t xml:space="preserve">Governance &amp; Enterprise Structure</t>
  </si>
  <si>
    <t xml:space="preserve">CRS · Customer Master Data Expertise</t>
  </si>
  <si>
    <t xml:space="preserve">People &amp; Competencies</t>
  </si>
  <si>
    <t xml:space="preserve">A pure competence capability — no AI, no housekeeping flag. Ensures at least one person actually understands how the preceding nine capabilities fit together in practice.</t>
  </si>
  <si>
    <t xml:space="preserve">n/a — competence capability, not transaction-based</t>
  </si>
  <si>
    <t xml:space="preserve">AI, Analytics &amp; KPI</t>
  </si>
  <si>
    <t xml:space="preserve">CRS · Governance &amp; Stewardship</t>
  </si>
  <si>
    <t xml:space="preserve">Governance &amp; Stewardship</t>
  </si>
  <si>
    <t xml:space="preserve">Named ownership of data quality — no AI component. This is the KEEP IT element (certified competence), not STEER IT/AI housekeeping.</t>
  </si>
  <si>
    <t xml:space="preserve">data quality incidents handled/year</t>
  </si>
  <si>
    <t xml:space="preserve">CRS · Operational Decision Support</t>
  </si>
  <si>
    <t xml:space="preserve">Operational Decision Support</t>
  </si>
  <si>
    <t xml:space="preserve">Day-to-day decision support — no AI, no housekeeping flag. Assumes data from the other capabilities can already be trusted.</t>
  </si>
  <si>
    <t xml:space="preserve">decisions supported/year</t>
  </si>
  <si>
    <t xml:space="preserve">CRS · AI-assisted Ways of Working</t>
  </si>
  <si>
    <t xml:space="preserve">AI-assisted Ways of Working</t>
  </si>
  <si>
    <t xml:space="preserve">SAP Joule/Business AI as the team's daily copilot — real AI, but only a benefit if it's actually used in routines. The capability here is the adoption itself, not merely access to the tool.</t>
  </si>
  <si>
    <t xml:space="preserve">AI-assisted workflows completed/year</t>
  </si>
  <si>
    <t xml:space="preserve">[Real AI] SAP-named: SAP Joule / SAP Business AI — the umbrella copilot enabling day-to-day AI-assisted master-data work</t>
  </si>
  <si>
    <t xml:space="preserve">Data Quality Analyst</t>
  </si>
  <si>
    <t xml:space="preserve">CRS · Continuous Learning &amp; Capability Development</t>
  </si>
  <si>
    <t xml:space="preserve">Continuous Learning &amp; Capability Development</t>
  </si>
  <si>
    <t xml:space="preserve">Deliberate competence renewal — no AI component. Ensures the catalog doesn't decay as AI features and people change over time.</t>
  </si>
  <si>
    <t xml:space="preserve">n/a — competence development, not transaction-based</t>
  </si>
  <si>
    <t xml:space="preserve">Governance Board Representative</t>
  </si>
  <si>
    <t xml:space="preserve">VRS · Vendor Creation &amp; Maintenance</t>
  </si>
  <si>
    <t xml:space="preserve">VRS</t>
  </si>
  <si>
    <t xml:space="preserve">Vendor Creation &amp; Maintenance</t>
  </si>
  <si>
    <t xml:space="preserve">VRS · Vendor Validation</t>
  </si>
  <si>
    <t xml:space="preserve">Vendor Validation</t>
  </si>
  <si>
    <t xml:space="preserve">VRS · Vendor Duplicate Management</t>
  </si>
  <si>
    <t xml:space="preserve">Vendor Duplicate Management</t>
  </si>
  <si>
    <t xml:space="preserve">VRS · Vendor Workflow &amp; Change Request Management</t>
  </si>
  <si>
    <t xml:space="preserve">Vendor Workflow &amp; Change Request Management</t>
  </si>
  <si>
    <t xml:space="preserve">VRS · Vendor Process Governance &amp; Compliance Monitoring</t>
  </si>
  <si>
    <t xml:space="preserve">Vendor Process Governance &amp; Compliance Monitoring</t>
  </si>
  <si>
    <t xml:space="preserve">VRS · Enterprise Platform Management</t>
  </si>
  <si>
    <t xml:space="preserve">VRS · Integration Services</t>
  </si>
  <si>
    <t xml:space="preserve">VRS · Workflow Automation</t>
  </si>
  <si>
    <t xml:space="preserve">VRS · Master Data Services</t>
  </si>
  <si>
    <t xml:space="preserve">VRS · AI Platform Services</t>
  </si>
  <si>
    <t xml:space="preserve">VRS · Vendor Master Data Expertise</t>
  </si>
  <si>
    <t xml:space="preserve">Vendor Master Data Expertise</t>
  </si>
  <si>
    <t xml:space="preserve">VRS · Governance &amp; Stewardship</t>
  </si>
  <si>
    <t xml:space="preserve">VRS · Operational Decision Support</t>
  </si>
  <si>
    <t xml:space="preserve">VRS · AI-assisted Ways of Working</t>
  </si>
  <si>
    <t xml:space="preserve">VRS · Continuous Learning &amp; Capability Development</t>
  </si>
  <si>
    <t xml:space="preserve">MRS · Material Creation &amp; Maintenance</t>
  </si>
  <si>
    <t xml:space="preserve">MRS</t>
  </si>
  <si>
    <t xml:space="preserve">Material Creation &amp; Maintenance</t>
  </si>
  <si>
    <t xml:space="preserve">MRS · Material Validation</t>
  </si>
  <si>
    <t xml:space="preserve">Material Validation</t>
  </si>
  <si>
    <t xml:space="preserve">MRS · Material Duplicate Management</t>
  </si>
  <si>
    <t xml:space="preserve">Material Duplicate Management</t>
  </si>
  <si>
    <t xml:space="preserve">MRS · Material Mass Change &amp; Follow-Up Processing</t>
  </si>
  <si>
    <t xml:space="preserve">Material Mass Change &amp; Follow-Up Processing</t>
  </si>
  <si>
    <t xml:space="preserve">[Rule-based / deterministic — NOT AI] Generic — SAP MDG Consolidation &amp; Mass Processing — rule-based batch automation, reuses the same deterministic Fuzzy Search</t>
  </si>
  <si>
    <t xml:space="preserve">MRS · Material Process Governance &amp; Compliance Monitoring</t>
  </si>
  <si>
    <t xml:space="preserve">Material Process Governance &amp; Compliance Monitoring</t>
  </si>
  <si>
    <t xml:space="preserve">MRS · Enterprise Platform Management</t>
  </si>
  <si>
    <t xml:space="preserve">MRS · Integration Services</t>
  </si>
  <si>
    <t xml:space="preserve">MRS · Workflow Automation</t>
  </si>
  <si>
    <t xml:space="preserve">MRS · Master Data Services</t>
  </si>
  <si>
    <t xml:space="preserve">MRS · AI Platform Services</t>
  </si>
  <si>
    <t xml:space="preserve">MRS · Material Master Data Expertise</t>
  </si>
  <si>
    <t xml:space="preserve">Material Master Data Expertise</t>
  </si>
  <si>
    <t xml:space="preserve">MRS · Governance &amp; Stewardship</t>
  </si>
  <si>
    <t xml:space="preserve">MRS · Operational Decision Support</t>
  </si>
  <si>
    <t xml:space="preserve">MRS · AI-assisted Ways of Working</t>
  </si>
  <si>
    <t xml:space="preserve">MRS · Continuous Learning &amp; Capability Development</t>
  </si>
  <si>
    <t xml:space="preserve">FRS · Financial Master Data Creation &amp; Maintenance</t>
  </si>
  <si>
    <t xml:space="preserve">FRS</t>
  </si>
  <si>
    <t xml:space="preserve">Financial Master Data Creation &amp; Maintenance</t>
  </si>
  <si>
    <t xml:space="preserve">FRS · Financial Master Data Validation</t>
  </si>
  <si>
    <t xml:space="preserve">Financial Master Data Validation</t>
  </si>
  <si>
    <t xml:space="preserve">FRS · Financial Hierarchy Management</t>
  </si>
  <si>
    <t xml:space="preserve">Financial Hierarchy Management</t>
  </si>
  <si>
    <t xml:space="preserve">[Rule-based / deterministic — NOT AI] Generic — Manual/program-driven hierarchy maintenance in MDG-F — no AI-assisted hierarchy assignment documented</t>
  </si>
  <si>
    <t xml:space="preserve">FRS · Financial Change Request &amp; Workflow Management</t>
  </si>
  <si>
    <t xml:space="preserve">Financial Change Request &amp; Workflow Management</t>
  </si>
  <si>
    <t xml:space="preserve">FRS · Financial Master Data Edition &amp; Replication Governance</t>
  </si>
  <si>
    <t xml:space="preserve">Financial Master Data Edition &amp; Replication Governance</t>
  </si>
  <si>
    <t xml:space="preserve">[Rule-based / deterministic — NOT AI] Generic — No confirmed SAP AI/ML feature for MDG-F replication governance</t>
  </si>
  <si>
    <t xml:space="preserve">FRS · Enterprise Platform Management</t>
  </si>
  <si>
    <t xml:space="preserve">FRS · Integration Services</t>
  </si>
  <si>
    <t xml:space="preserve">FRS · Workflow Automation</t>
  </si>
  <si>
    <t xml:space="preserve">FRS · Master Data Services</t>
  </si>
  <si>
    <t xml:space="preserve">FRS · AI Platform Services</t>
  </si>
  <si>
    <t xml:space="preserve">FRS · Finance Master Data Expertise</t>
  </si>
  <si>
    <t xml:space="preserve">Finance Master Data Expertise</t>
  </si>
  <si>
    <t xml:space="preserve">FRS · Governance &amp; Stewardship</t>
  </si>
  <si>
    <t xml:space="preserve">FRS · Operational Decision Support</t>
  </si>
  <si>
    <t xml:space="preserve">FRS · AI-assisted Ways of Working</t>
  </si>
  <si>
    <t xml:space="preserve">FRS · Continuous Learning &amp; Capability Development</t>
  </si>
  <si>
    <t xml:space="preserve">WRS · Employee Master Data Creation &amp; Maintenance</t>
  </si>
  <si>
    <t xml:space="preserve">WRS</t>
  </si>
  <si>
    <t xml:space="preserve">Employee Master Data Creation &amp; Maintenance</t>
  </si>
  <si>
    <t xml:space="preserve">[Real AI] SAP-named: SAP Joule Skills (AI copilot) — conversational Employee Central data updates</t>
  </si>
  <si>
    <t xml:space="preserve">WRS · Employee Data Validation</t>
  </si>
  <si>
    <t xml:space="preserve">Employee Data Validation</t>
  </si>
  <si>
    <t xml:space="preserve">[Rule-based / deterministic — NOT AI] Generic — SuccessFactors EC Business Rules engine — deterministic, not AI/ML-branded by SAP</t>
  </si>
  <si>
    <t xml:space="preserve">WRS · Duplicate Employee Management</t>
  </si>
  <si>
    <t xml:space="preserve">Duplicate Employee Management</t>
  </si>
  <si>
    <t xml:space="preserve">[Rule-based / deterministic — NOT AI] Generic — SuccessFactors EC Duplicate Check — configurable rule/lookup matching, not AI/ML-branded</t>
  </si>
  <si>
    <t xml:space="preserve">WRS · Workflow-Based Approval Management</t>
  </si>
  <si>
    <t xml:space="preserve">Workflow-Based Approval Management</t>
  </si>
  <si>
    <t xml:space="preserve">[Rule-based / deterministic — NOT AI] Generic — SuccessFactors EC workflow/approval engine — rule-based, no confirmed AI-driven logic</t>
  </si>
  <si>
    <t xml:space="preserve">WRS · Organizational &amp; Position Data Governance</t>
  </si>
  <si>
    <t xml:space="preserve">Organizational &amp; Position Data Governance</t>
  </si>
  <si>
    <t xml:space="preserve">[Rule-based / deterministic — NOT AI] Generic — No confirmed SAP AI/ML feature for EC org/position governance</t>
  </si>
  <si>
    <t xml:space="preserve">WRS · Enterprise Platform Management</t>
  </si>
  <si>
    <t xml:space="preserve">WRS · Integration Services</t>
  </si>
  <si>
    <t xml:space="preserve">WRS · Workflow Automation</t>
  </si>
  <si>
    <t xml:space="preserve">WRS · Master Data Services</t>
  </si>
  <si>
    <t xml:space="preserve">WRS · AI Platform Services</t>
  </si>
  <si>
    <t xml:space="preserve">WRS · HR / Workforce Master Data Expertise</t>
  </si>
  <si>
    <t xml:space="preserve">HR / Workforce Master Data Expertise</t>
  </si>
  <si>
    <t xml:space="preserve">WRS · Governance &amp; Stewardship</t>
  </si>
  <si>
    <t xml:space="preserve">WRS · Operational Decision Support</t>
  </si>
  <si>
    <t xml:space="preserve">WRS · AI-assisted Ways of Working</t>
  </si>
  <si>
    <t xml:space="preserve">WRS · Continuous Learning &amp; Capability Development</t>
  </si>
  <si>
    <t xml:space="preserve">ARS · Equipment &amp; Functional Location Master Data Management</t>
  </si>
  <si>
    <t xml:space="preserve">ARS</t>
  </si>
  <si>
    <t xml:space="preserve">Equipment &amp; Functional Location Master Data Management</t>
  </si>
  <si>
    <t xml:space="preserve">[Rule-based / deterministic — NOT AI] Generic — No confirmed SAP AI/ML feature for equipment/functional location master data</t>
  </si>
  <si>
    <t xml:space="preserve">ARS · Asset Data Validation &amp; Standardization</t>
  </si>
  <si>
    <t xml:space="preserve">Asset Data Validation &amp; Standardization</t>
  </si>
  <si>
    <t xml:space="preserve">[Rule-based / deterministic — NOT AI] Generic — No confirmed SAP AI/ML feature for Asset data validation</t>
  </si>
  <si>
    <t xml:space="preserve">ARS · Maintenance Order &amp; Notification Management</t>
  </si>
  <si>
    <t xml:space="preserve">Maintenance Order &amp; Notification Management</t>
  </si>
  <si>
    <t xml:space="preserve">[Real AI] SAP-named: SAP S/4HANA Cloud — AI-Assisted Maintenance Order Recommendations (analyzes history to suggest past orders resolving similar issues)</t>
  </si>
  <si>
    <t xml:space="preserve">ARS · Maintenance Planning &amp; Scheduling</t>
  </si>
  <si>
    <t xml:space="preserve">Maintenance Planning &amp; Scheduling</t>
  </si>
  <si>
    <t xml:space="preserve">ARS · Asset Data &amp; Process Governance</t>
  </si>
  <si>
    <t xml:space="preserve">Asset Data &amp; Process Governance</t>
  </si>
  <si>
    <t xml:space="preserve">[Rule-based / deterministic — NOT AI] Generic — SAP's GenAI/Joule features for master data are documented for Material/Business Partner/Finance, not confirmed for Asset</t>
  </si>
  <si>
    <t xml:space="preserve">ARS · Enterprise Asset Management Platform</t>
  </si>
  <si>
    <t xml:space="preserve">Enterprise Asset Management Platform</t>
  </si>
  <si>
    <t xml:space="preserve">ARS · Asset Performance &amp; Predictive Analytics</t>
  </si>
  <si>
    <t xml:space="preserve">Asset Performance &amp; Predictive Analytics</t>
  </si>
  <si>
    <t xml:space="preserve">[Real AI] SAP-named: SAP Asset Performance Management — AI-based Predictive Maintenance</t>
  </si>
  <si>
    <t xml:space="preserve">ARS · IoT &amp; Intelligent Monitoring Services</t>
  </si>
  <si>
    <t xml:space="preserve">IoT &amp; Intelligent Monitoring Services</t>
  </si>
  <si>
    <t xml:space="preserve">[Real AI] SAP-named: SAP Asset Performance Management — AI-based Anomaly Detection</t>
  </si>
  <si>
    <t xml:space="preserve">ARS · Integration Services</t>
  </si>
  <si>
    <t xml:space="preserve">ARS · Master Data &amp; Governance Services</t>
  </si>
  <si>
    <t xml:space="preserve">Master Data &amp; Governance Services</t>
  </si>
  <si>
    <t xml:space="preserve">[Rule-based / deterministic — NOT AI] Generic — No confirmed Asset-specific SAP AI product for this platform category</t>
  </si>
  <si>
    <t xml:space="preserve">ARS · Asset Master Data Expertise</t>
  </si>
  <si>
    <t xml:space="preserve">Asset Master Data Expertise</t>
  </si>
  <si>
    <t xml:space="preserve">ARS · Governance &amp; Stewardship</t>
  </si>
  <si>
    <t xml:space="preserve">ARS · Operational Decision Support</t>
  </si>
  <si>
    <t xml:space="preserve">ARS · AI-assisted Ways of Working</t>
  </si>
  <si>
    <t xml:space="preserve">ARS · Continuous Learning &amp; Capability Development</t>
  </si>
  <si>
    <t xml:space="preserve">SRS · Material &amp; Vendor Master Data Management</t>
  </si>
  <si>
    <t xml:space="preserve">SRS</t>
  </si>
  <si>
    <t xml:space="preserve">Material &amp; Vendor Master Data Management</t>
  </si>
  <si>
    <t xml:space="preserve">[Real AI] SAP-named: SAP MDG GenAI-assisted change-request creation (NLP) + AI-generated summaries — documented for the Material/Business Partner objects underlying this capability</t>
  </si>
  <si>
    <t xml:space="preserve">SRS · Material / Vendor Data Validation</t>
  </si>
  <si>
    <t xml:space="preserve">Material / Vendor Data Validation</t>
  </si>
  <si>
    <t xml:space="preserve">SRS · Duplicate Material Management</t>
  </si>
  <si>
    <t xml:space="preserve">Duplicate Material Management</t>
  </si>
  <si>
    <t xml:space="preserve">SRS · Procurement &amp; Sourcing Process Management</t>
  </si>
  <si>
    <t xml:space="preserve">Procurement &amp; Sourcing Process Management</t>
  </si>
  <si>
    <t xml:space="preserve">SRS · Demand &amp; Supply Planning (S&amp;OP)</t>
  </si>
  <si>
    <t xml:space="preserve">Demand &amp; Supply Planning (S&amp;OP)</t>
  </si>
  <si>
    <t xml:space="preserve">SRS · Enterprise Planning &amp; Execution Platform</t>
  </si>
  <si>
    <t xml:space="preserve">Enterprise Planning &amp; Execution Platform</t>
  </si>
  <si>
    <t xml:space="preserve">SRS · Integration Services</t>
  </si>
  <si>
    <t xml:space="preserve">SRS · Master Data Services</t>
  </si>
  <si>
    <t xml:space="preserve">SRS · AI &amp; Analytics Platform Services</t>
  </si>
  <si>
    <t xml:space="preserve">AI &amp; Analytics Platform Services</t>
  </si>
  <si>
    <t xml:space="preserve">[Real AI] SAP-named: SAP IBP — Demand Sensing with Gradient Boosting (ML-based)</t>
  </si>
  <si>
    <t xml:space="preserve">SRS · Workflow Automation</t>
  </si>
  <si>
    <t xml:space="preserve">SRS · Supply Chain Master Data Expertise</t>
  </si>
  <si>
    <t xml:space="preserve">Supply Chain Master Data Expertise</t>
  </si>
  <si>
    <t xml:space="preserve">SRS · Governance &amp; Stewardship</t>
  </si>
  <si>
    <t xml:space="preserve">SRS · Operational Decision Support</t>
  </si>
  <si>
    <t xml:space="preserve">SRS · AI-assisted Ways of Working</t>
  </si>
  <si>
    <t xml:space="preserve">SRS · Continuous Learning &amp; Capability Development</t>
  </si>
  <si>
    <t xml:space="preserve">PRS · Project Structuring &amp; Master Data Management</t>
  </si>
  <si>
    <t xml:space="preserve">PRS</t>
  </si>
  <si>
    <t xml:space="preserve">Project Structuring &amp; Master Data Management</t>
  </si>
  <si>
    <t xml:space="preserve">PRS · Project Planning &amp; Scheduling</t>
  </si>
  <si>
    <t xml:space="preserve">Project Planning &amp; Scheduling</t>
  </si>
  <si>
    <t xml:space="preserve">PRS · Project Financial Planning &amp; Cost Control</t>
  </si>
  <si>
    <t xml:space="preserve">Project Financial Planning &amp; Cost Control</t>
  </si>
  <si>
    <t xml:space="preserve">PRS · Resource Management &amp; Capacity Planning</t>
  </si>
  <si>
    <t xml:space="preserve">Resource Management &amp; Capacity Planning</t>
  </si>
  <si>
    <t xml:space="preserve">PRS · Project Governance &amp; Risk Management</t>
  </si>
  <si>
    <t xml:space="preserve">Project Governance &amp; Risk Management</t>
  </si>
  <si>
    <t xml:space="preserve">PRS · Master Data Services</t>
  </si>
  <si>
    <t xml:space="preserve">PRS · Workflow Automation</t>
  </si>
  <si>
    <t xml:space="preserve">PRS · Enterprise Project Platform Management</t>
  </si>
  <si>
    <t xml:space="preserve">Enterprise Project Platform Management</t>
  </si>
  <si>
    <t xml:space="preserve">PRS · Integration Services</t>
  </si>
  <si>
    <t xml:space="preserve">PRS · AI Platform Services</t>
  </si>
  <si>
    <t xml:space="preserve">PRS · Project Master Data Expertise</t>
  </si>
  <si>
    <t xml:space="preserve">Project Master Data Expertise</t>
  </si>
  <si>
    <t xml:space="preserve">PRS · Governance &amp; Stewardship</t>
  </si>
  <si>
    <t xml:space="preserve">PRS · Operational Decision Support</t>
  </si>
  <si>
    <t xml:space="preserve">PRS · AI-assisted Ways of Working</t>
  </si>
  <si>
    <t xml:space="preserve">PRS · Continuous Learning &amp; Capability Development</t>
  </si>
  <si>
    <t xml:space="preserve">QRS · Quality Planning (Master Data &amp; Inspection Planning)</t>
  </si>
  <si>
    <t xml:space="preserve">QRS</t>
  </si>
  <si>
    <t xml:space="preserve">Quality Planning (Master Data &amp; Inspection Planning)</t>
  </si>
  <si>
    <t xml:space="preserve">QRS · Quality Inspection &amp; Result Recording</t>
  </si>
  <si>
    <t xml:space="preserve">Quality Inspection &amp; Result Recording</t>
  </si>
  <si>
    <t xml:space="preserve">[Real AI] SAP-named: AI/ML Visual Inspection — an SAP Digital Manufacturing capability (built on SAP AI Core) integrating into quality inspection; not a native SAP QM feature</t>
  </si>
  <si>
    <t xml:space="preserve">QRS · Quality Notification &amp; Corrective Action Management</t>
  </si>
  <si>
    <t xml:space="preserve">Quality Notification &amp; Corrective Action Management</t>
  </si>
  <si>
    <t xml:space="preserve">QRS · Quality Certification Management</t>
  </si>
  <si>
    <t xml:space="preserve">Quality Certification Management</t>
  </si>
  <si>
    <t xml:space="preserve">QRS · Quality Analytics &amp; Cost-of-Quality Reporting</t>
  </si>
  <si>
    <t xml:space="preserve">Quality Analytics &amp; Cost-of-Quality Reporting</t>
  </si>
  <si>
    <t xml:space="preserve">[Rule-based / deterministic — NOT AI] Generic — No confirmed SAP QM-specific named AI analytics feature for cost-of-quality reporting</t>
  </si>
  <si>
    <t xml:space="preserve">QRS · Quality Master Data Services</t>
  </si>
  <si>
    <t xml:space="preserve">Quality Master Data Services</t>
  </si>
  <si>
    <t xml:space="preserve">[Rule-based / deterministic — NOT AI] Generic — No QM-specific SAP product for this platform category</t>
  </si>
  <si>
    <t xml:space="preserve">QRS · Workflow Automation</t>
  </si>
  <si>
    <t xml:space="preserve">QRS · Quality Engineering &amp; Inspection Platform</t>
  </si>
  <si>
    <t xml:space="preserve">Quality Engineering &amp; Inspection Platform</t>
  </si>
  <si>
    <t xml:space="preserve">QRS · Integration Services</t>
  </si>
  <si>
    <t xml:space="preserve">QRS · Analytics &amp; AI Platform Services</t>
  </si>
  <si>
    <t xml:space="preserve">Analytics &amp; AI Platform Services</t>
  </si>
  <si>
    <t xml:space="preserve">[Real AI] SAP-named: SAP AI Core/Foundation + SAP Analytics Cloud Smart Predict</t>
  </si>
  <si>
    <t xml:space="preserve">QRS · Quality &amp; Compliance Master Data Expertise</t>
  </si>
  <si>
    <t xml:space="preserve">Quality &amp; Compliance Master Data Expertise</t>
  </si>
  <si>
    <t xml:space="preserve">QRS · Governance &amp; Stewardship</t>
  </si>
  <si>
    <t xml:space="preserve">QRS · Operational Decision Support</t>
  </si>
  <si>
    <t xml:space="preserve">QRS · AI-assisted Ways of Working</t>
  </si>
  <si>
    <t xml:space="preserve">QRS · Continuous Learning &amp; Capability Development</t>
  </si>
  <si>
    <t xml:space="preserve">GRS · Organizational Structure Design &amp; Maintenance</t>
  </si>
  <si>
    <t xml:space="preserve">GRS</t>
  </si>
  <si>
    <t xml:space="preserve">Organizational Structure Design &amp; Maintenance</t>
  </si>
  <si>
    <t xml:space="preserve">GRS · Workforce &amp; Organizational Scenario Planning</t>
  </si>
  <si>
    <t xml:space="preserve">Workforce &amp; Organizational Scenario Planning</t>
  </si>
  <si>
    <t xml:space="preserve">GRS · Business Process Governance &amp; Compliance</t>
  </si>
  <si>
    <t xml:space="preserve">Business Process Governance &amp; Compliance</t>
  </si>
  <si>
    <t xml:space="preserve">GRS · Business Process Monitoring &amp; Operations</t>
  </si>
  <si>
    <t xml:space="preserve">Business Process Monitoring &amp; Operations</t>
  </si>
  <si>
    <t xml:space="preserve">[Rule-based / deterministic — NOT AI] Generic — Only a dated (2021), non-current SAP Solution Manager ML blog found — not a confirmed currently-marketed feature</t>
  </si>
  <si>
    <t xml:space="preserve">GRS · Change Control &amp; Release Governance</t>
  </si>
  <si>
    <t xml:space="preserve">Change Control &amp; Release Governance</t>
  </si>
  <si>
    <t xml:space="preserve">GRS · Enterprise Structure Management</t>
  </si>
  <si>
    <t xml:space="preserve">Enterprise Structure Management</t>
  </si>
  <si>
    <t xml:space="preserve">GRS · Process Governance &amp; Workflow Automation</t>
  </si>
  <si>
    <t xml:space="preserve">Process Governance &amp; Workflow Automation</t>
  </si>
  <si>
    <t xml:space="preserve">[Rule-based / deterministic — NOT AI] Generic — SAP Signavio Process Governance — no native AI/ML feature confirmed (distinct from Process Intelligence, below)</t>
  </si>
  <si>
    <t xml:space="preserve">GRS · Solution Documentation Services</t>
  </si>
  <si>
    <t xml:space="preserve">Solution Documentation Services</t>
  </si>
  <si>
    <t xml:space="preserve">[Rule-based / deterministic — NOT AI] Generic — SAP Solution Manager's Solution Documentation Assistant is explicitly rules-based (IBIS RBE), not AI/ML</t>
  </si>
  <si>
    <t xml:space="preserve">GRS · IT Change &amp; Release Management</t>
  </si>
  <si>
    <t xml:space="preserve">IT Change &amp; Release Management</t>
  </si>
  <si>
    <t xml:space="preserve">GRS · Process Intelligence &amp; Analytics</t>
  </si>
  <si>
    <t xml:space="preserve">Process Intelligence &amp; Analytics</t>
  </si>
  <si>
    <t xml:space="preserve">[Real AI] SAP-named: SAP Signavio Process Intelligence — AI-enabled recommendations, automated process mining, generative-AI Q&amp;A</t>
  </si>
  <si>
    <t xml:space="preserve">GRS · Governance &amp; Enterprise Structure Master Data Expertise</t>
  </si>
  <si>
    <t xml:space="preserve">Governance &amp; Enterprise Structure Master Data Expertise</t>
  </si>
  <si>
    <t xml:space="preserve">GRS · Governance &amp; Stewardship</t>
  </si>
  <si>
    <t xml:space="preserve">GRS · Operational Decision Support</t>
  </si>
  <si>
    <t xml:space="preserve">GRS · AI-assisted Ways of Working</t>
  </si>
  <si>
    <t xml:space="preserve">GRS · Continuous Learning &amp; Capability Development</t>
  </si>
  <si>
    <t xml:space="preserve">KRS · Data Quality Profiling &amp; Monitoring</t>
  </si>
  <si>
    <t xml:space="preserve">KRS</t>
  </si>
  <si>
    <t xml:space="preserve">Data Quality Profiling &amp; Monitoring</t>
  </si>
  <si>
    <t xml:space="preserve">[Rule-based / deterministic — NOT AI] Generic — SAP Information Steward profiling — rule-based/statistical, not ML-branded by SAP</t>
  </si>
  <si>
    <t xml:space="preserve">KRS · Metadata &amp; Data Lineage Management</t>
  </si>
  <si>
    <t xml:space="preserve">Metadata &amp; Data Lineage Management</t>
  </si>
  <si>
    <t xml:space="preserve">[Rule-based / deterministic — NOT AI] Generic — SAP Information Steward / Datasphere lineage &amp; impact analysis — no lineage-specific AI feature documented</t>
  </si>
  <si>
    <t xml:space="preserve">KRS · Data Stewardship &amp; Collaboration</t>
  </si>
  <si>
    <t xml:space="preserve">Data Stewardship &amp; Collaboration</t>
  </si>
  <si>
    <t xml:space="preserve">KRS · Business Planning &amp; Forecasting</t>
  </si>
  <si>
    <t xml:space="preserve">Business Planning &amp; Forecasting</t>
  </si>
  <si>
    <t xml:space="preserve">KRS · Predictive &amp; Augmented Analytics</t>
  </si>
  <si>
    <t xml:space="preserve">Predictive &amp; Augmented Analytics</t>
  </si>
  <si>
    <t xml:space="preserve">[Real AI] SAP-named: SAP Analytics Cloud — Smart Predict (automated predictive models) + Smart Insights (AI-powered explanations)</t>
  </si>
  <si>
    <t xml:space="preserve">KRS · Data Integration Services</t>
  </si>
  <si>
    <t xml:space="preserve">Data Integration Services</t>
  </si>
  <si>
    <t xml:space="preserve">[Real AI] SAP-named: SAP Datasphere — AI-Assisted Modeling (semantic enrichment; closer to modeling assistance than classic ETL mapping)</t>
  </si>
  <si>
    <t xml:space="preserve">KRS · Enterprise Data Warehousing</t>
  </si>
  <si>
    <t xml:space="preserve">Enterprise Data Warehousing</t>
  </si>
  <si>
    <t xml:space="preserve">[Rule-based / deterministic — NOT AI] Generic — No AI/ML feature specific to the core warehousing/storage engine (BW/4HANA, Datasphere storage layer)</t>
  </si>
  <si>
    <t xml:space="preserve">KRS · Semantic &amp; Data Modeling Services</t>
  </si>
  <si>
    <t xml:space="preserve">Semantic &amp; Data Modeling Services</t>
  </si>
  <si>
    <t xml:space="preserve">KRS · AI &amp; Machine Learning Platform Services</t>
  </si>
  <si>
    <t xml:space="preserve">AI &amp; Machine Learning Platform Services</t>
  </si>
  <si>
    <t xml:space="preserve">[Real AI] SAP-named: SAP AI Core (AI Foundation) + SAP HANA Predictive Analysis Library (PAL)</t>
  </si>
  <si>
    <t xml:space="preserve">KRS · Data Governance &amp; Cataloging Platform</t>
  </si>
  <si>
    <t xml:space="preserve">Data Governance &amp; Cataloging Platform</t>
  </si>
  <si>
    <t xml:space="preserve">[Real AI] SAP-named: SAP Datasphere catalog — AI-Assisted Catalog Content Generation + AI-Assisted Natural Language Search</t>
  </si>
  <si>
    <t xml:space="preserve">KRS · AI, Analytics &amp; KPI Master Data Expertise</t>
  </si>
  <si>
    <t xml:space="preserve">AI, Analytics &amp; KPI Master Data Expertise</t>
  </si>
  <si>
    <t xml:space="preserve">KRS · Governance &amp; Stewardship</t>
  </si>
  <si>
    <t xml:space="preserve">KRS · Operational Decision Support</t>
  </si>
  <si>
    <t xml:space="preserve">KRS · AI-assisted Ways of Working</t>
  </si>
  <si>
    <t xml:space="preserve">KRS · Continuous Learning &amp; Capability Development</t>
  </si>
  <si>
    <t xml:space="preserve">Glossary — every term in one sentence</t>
  </si>
  <si>
    <t xml:space="preserve">Term</t>
  </si>
  <si>
    <t xml:space="preserve">SEE IT — Baseline</t>
  </si>
  <si>
    <t xml:space="preserve">The plan, written before you start: what the problem costs today and what you expect to gain (Your Case).</t>
  </si>
  <si>
    <t xml:space="preserve">STEER IT — Cadence</t>
  </si>
  <si>
    <t xml:space="preserve">The monthly follow-up during the engagement: numbers are updated as real data arrives (Steer It).</t>
  </si>
  <si>
    <t xml:space="preserve">KEEP IT — Harvest</t>
  </si>
  <si>
    <t xml:space="preserve">The proof after go-live: what was actually realised, verified by the Benefit Owner (Keep It).</t>
  </si>
  <si>
    <t xml:space="preserve">Something the organisation must be able to do, e.g. 'Customer Validation'. The Library holds 165 of them.</t>
  </si>
  <si>
    <t xml:space="preserve">The person in the business who owns a benefit and is accountable for it being realised.</t>
  </si>
  <si>
    <t xml:space="preserve">The internal successor who handles data and follow-up, and grows into tomorrow's Benefit Owner.</t>
  </si>
  <si>
    <t xml:space="preserve">BenefitPartner's own role: facilitator and driver across all lines, from plan to harvest.</t>
  </si>
  <si>
    <t xml:space="preserve">Yearly benefit</t>
  </si>
  <si>
    <t xml:space="preserve">How many times per year × what it costs each time × the share of the problem we remove.</t>
  </si>
  <si>
    <t xml:space="preserve">How sure are you? / Risk weight</t>
  </si>
  <si>
    <t xml:space="preserve">Measured in our systems = counted in full (100%); Qualified estimate = 70%; Gut feeling = 40%.</t>
  </si>
  <si>
    <t xml:space="preserve">Share removed</t>
  </si>
  <si>
    <t xml:space="preserve">How much of the problem the solution actually removes — rarely 100%. Yearly benefit = times per year × cost each time × share removed.</t>
  </si>
  <si>
    <t xml:space="preserve">Risk-adjusted benefit</t>
  </si>
  <si>
    <t xml:space="preserve">The yearly benefit × the risk weight. The honest number to plan with.</t>
  </si>
  <si>
    <t xml:space="preserve">Visible on the bottom line (Hard/Soft)</t>
  </si>
  <si>
    <t xml:space="preserve">Yes = the saving shows up in the accounts (a 'hard' benefit). No = real but indirect, e.g. time freed up (a 'soft' benefit).</t>
  </si>
  <si>
    <t xml:space="preserve">What a master-data domain becomes when all three elements are in place: a Readiness Score (SEE IT), AI housekeeping (STEER IT) and certified competence (KEEP IT).</t>
  </si>
  <si>
    <t xml:space="preserve">AI housekeeping</t>
  </si>
  <si>
    <t xml:space="preserve">Routines that run to schedule over every record and hand the hard cases to a person. Built once, reused in every domain.</t>
  </si>
  <si>
    <t xml:space="preserve">Certified competence</t>
  </si>
  <si>
    <t xml:space="preserve">Knowledge held by the unit, tested and certified — not carried by a few people. Built once, reused in every domain.</t>
  </si>
  <si>
    <t xml:space="preserve">SEE IT · STEER IT · KEEP IT — two levels</t>
  </si>
  <si>
    <t xml:space="preserve">The same three words describe the capability unit (Readiness Score, AI housekeeping, certified competence) and the business case (plan, follow-up, harvest).</t>
  </si>
  <si>
    <t xml:space="preserve">Strength A / B / C</t>
  </si>
  <si>
    <t xml:space="preserve">A = measured and on the bottom line (the CFO accepts it). B = estimated or indirect (the CFO will ask). C = gut feeling (the CFO will challenge it).</t>
  </si>
  <si>
    <t xml:space="preserve">Evidence mix</t>
  </si>
  <si>
    <t xml:space="preserve">How much of the yearly benefit is measured, estimated or a gut feeling. Aim to raise the measured share before the CFO meeting.</t>
  </si>
  <si>
    <t xml:space="preserve">Counted twice (overlap)</t>
  </si>
  <si>
    <t xml:space="preserve">When two lines claim the same saving. It inflates the case and must be removed before the CFO sees it.</t>
  </si>
  <si>
    <t xml:space="preserve">Ramp-up</t>
  </si>
  <si>
    <t xml:space="preserve">Benefits build up over time: a share of the full yearly effect in Year 1, more in Year 2, full effect by Year 3.</t>
  </si>
  <si>
    <t xml:space="preserve">What you pay once to get started: packages, your own team's time, external help, one-off licences.</t>
  </si>
  <si>
    <t xml:space="preserve">Running costs</t>
  </si>
  <si>
    <t xml:space="preserve">What it costs every year afterwards, e.g. licences and support.</t>
  </si>
  <si>
    <t xml:space="preserve">The number of months until the cumulative benefits have paid back the investment.</t>
  </si>
  <si>
    <t xml:space="preserve">3-year net value</t>
  </si>
  <si>
    <t xml:space="preserve">All benefits over 3 years minus all costs over 3 years.</t>
  </si>
  <si>
    <t xml:space="preserve">Conservative / Base Case / Full Upside</t>
  </si>
  <si>
    <t xml:space="preserve">The floor (only measured, bottom-line benefits), the expected case (all, weighted) and the ceiling (all, at face value).</t>
  </si>
  <si>
    <t xml:space="preserve">The Base Case if benefits come in lower than expected — by the share set in the CFO Appendix.</t>
  </si>
  <si>
    <t xml:space="preserve">Cost of inaction</t>
  </si>
  <si>
    <t xml:space="preserve">What the problem keeps costing for every month nothing is done.</t>
  </si>
  <si>
    <t xml:space="preserve">Readiness Score</t>
  </si>
  <si>
    <t xml:space="preserve">A score of how ready a capability is — measured before and after, to prove the lift.</t>
  </si>
  <si>
    <t xml:space="preserve">Housekeeping — real AI vs. rule-based</t>
  </si>
  <si>
    <t xml:space="preserve">Real AI = named AI/ML features; rule-based = deterministic rules. Both have value; only the first is AI.</t>
  </si>
</sst>
</file>

<file path=xl/styles.xml><?xml version="1.0" encoding="utf-8"?>
<styleSheet xmlns="http://schemas.openxmlformats.org/spreadsheetml/2006/main">
  <numFmts count="8">
    <numFmt numFmtId="164" formatCode="General"/>
    <numFmt numFmtId="165" formatCode="#,##0;\(#,##0\);\-"/>
    <numFmt numFmtId="166" formatCode="0"/>
    <numFmt numFmtId="167" formatCode="0%"/>
    <numFmt numFmtId="168" formatCode="#,##0.00;\(#,##0.00\);\-"/>
    <numFmt numFmtId="169" formatCode="0.00"/>
    <numFmt numFmtId="170" formatCode="0.0\x"/>
    <numFmt numFmtId="171" formatCode="General"/>
  </numFmts>
  <fonts count="46">
    <font>
      <sz val="11"/>
      <color theme="1"/>
      <name val="Calibri"/>
      <family val="2"/>
      <charset val="1"/>
    </font>
    <font>
      <sz val="10"/>
      <name val="Arial"/>
      <family val="0"/>
    </font>
    <font>
      <sz val="10"/>
      <name val="Arial"/>
      <family val="0"/>
    </font>
    <font>
      <sz val="10"/>
      <name val="Arial"/>
      <family val="0"/>
    </font>
    <font>
      <b val="true"/>
      <sz val="16"/>
      <color rgb="FF0A2540"/>
      <name val="Arial"/>
      <family val="0"/>
      <charset val="1"/>
    </font>
    <font>
      <i val="true"/>
      <sz val="10"/>
      <color rgb="FF595959"/>
      <name val="Arial"/>
      <family val="0"/>
      <charset val="1"/>
    </font>
    <font>
      <b val="true"/>
      <sz val="11"/>
      <color rgb="FFFFFFFF"/>
      <name val="Arial"/>
      <family val="0"/>
      <charset val="1"/>
    </font>
    <font>
      <b val="true"/>
      <sz val="9"/>
      <color rgb="FFFFFFFF"/>
      <name val="Arial"/>
      <family val="0"/>
      <charset val="1"/>
    </font>
    <font>
      <b val="true"/>
      <u val="single"/>
      <sz val="11"/>
      <color rgb="FF0A2540"/>
      <name val="Arial"/>
      <family val="0"/>
      <charset val="1"/>
    </font>
    <font>
      <sz val="10"/>
      <color rgb="FF000000"/>
      <name val="Arial"/>
      <family val="0"/>
      <charset val="1"/>
    </font>
    <font>
      <b val="true"/>
      <sz val="10"/>
      <color rgb="FF0A2540"/>
      <name val="Arial"/>
      <family val="0"/>
      <charset val="1"/>
    </font>
    <font>
      <b val="true"/>
      <sz val="11"/>
      <color rgb="FF7F7F7F"/>
      <name val="Arial"/>
      <family val="0"/>
      <charset val="1"/>
    </font>
    <font>
      <b val="true"/>
      <sz val="14"/>
      <color rgb="FF0A2540"/>
      <name val="Arial"/>
      <family val="0"/>
      <charset val="1"/>
    </font>
    <font>
      <b val="true"/>
      <sz val="11"/>
      <color rgb="FF000000"/>
      <name val="Arial"/>
      <family val="0"/>
      <charset val="1"/>
    </font>
    <font>
      <b val="true"/>
      <sz val="10"/>
      <color rgb="FF1462B0"/>
      <name val="Arial"/>
      <family val="0"/>
      <charset val="1"/>
    </font>
    <font>
      <b val="true"/>
      <sz val="10"/>
      <color rgb="FF000000"/>
      <name val="Arial"/>
      <family val="0"/>
      <charset val="1"/>
    </font>
    <font>
      <b val="true"/>
      <sz val="10"/>
      <color rgb="FF008000"/>
      <name val="Arial"/>
      <family val="0"/>
      <charset val="1"/>
    </font>
    <font>
      <b val="true"/>
      <sz val="10"/>
      <color rgb="FF006100"/>
      <name val="Arial"/>
      <family val="0"/>
      <charset val="1"/>
    </font>
    <font>
      <b val="true"/>
      <sz val="10"/>
      <color rgb="FF9C0006"/>
      <name val="Arial"/>
      <family val="0"/>
      <charset val="1"/>
    </font>
    <font>
      <i val="true"/>
      <sz val="8"/>
      <color rgb="FF7F7F7F"/>
      <name val="Arial"/>
      <family val="0"/>
      <charset val="1"/>
    </font>
    <font>
      <b val="true"/>
      <sz val="18"/>
      <color rgb="FF0A2540"/>
      <name val="Arial"/>
      <family val="0"/>
      <charset val="1"/>
    </font>
    <font>
      <sz val="9"/>
      <color rgb="FF7F7F7F"/>
      <name val="Arial"/>
      <family val="0"/>
      <charset val="1"/>
    </font>
    <font>
      <b val="true"/>
      <u val="single"/>
      <sz val="10"/>
      <color rgb="FF1462B0"/>
      <name val="Arial"/>
      <family val="0"/>
      <charset val="1"/>
    </font>
    <font>
      <b val="true"/>
      <sz val="10"/>
      <color rgb="FFFFFFFF"/>
      <name val="Arial"/>
      <family val="0"/>
      <charset val="1"/>
    </font>
    <font>
      <b val="true"/>
      <sz val="13"/>
      <color rgb="FF0A2540"/>
      <name val="Arial"/>
      <family val="0"/>
      <charset val="1"/>
    </font>
    <font>
      <b val="true"/>
      <sz val="8"/>
      <color rgb="FFBFD4EA"/>
      <name val="Arial"/>
      <family val="0"/>
      <charset val="1"/>
    </font>
    <font>
      <b val="true"/>
      <sz val="20"/>
      <color rgb="FFFFFFFF"/>
      <name val="Arial"/>
      <family val="0"/>
      <charset val="1"/>
    </font>
    <font>
      <i val="true"/>
      <sz val="8"/>
      <color rgb="FFBFD4EA"/>
      <name val="Arial"/>
      <family val="0"/>
      <charset val="1"/>
    </font>
    <font>
      <b val="true"/>
      <sz val="11"/>
      <color rgb="FF0A2540"/>
      <name val="Arial"/>
      <family val="0"/>
      <charset val="1"/>
    </font>
    <font>
      <sz val="10"/>
      <color rgb="FF0A2540"/>
      <name val="Arial"/>
      <family val="0"/>
      <charset val="1"/>
    </font>
    <font>
      <sz val="9"/>
      <color rgb="FF404040"/>
      <name val="Arial"/>
      <family val="0"/>
      <charset val="1"/>
    </font>
    <font>
      <i val="true"/>
      <sz val="8"/>
      <color rgb="FF595959"/>
      <name val="Arial"/>
      <family val="0"/>
      <charset val="1"/>
    </font>
    <font>
      <sz val="9"/>
      <color rgb="FF000000"/>
      <name val="Arial"/>
      <family val="0"/>
      <charset val="1"/>
    </font>
    <font>
      <i val="true"/>
      <sz val="9"/>
      <color rgb="FF404040"/>
      <name val="Arial"/>
      <family val="0"/>
      <charset val="1"/>
    </font>
    <font>
      <sz val="10"/>
      <color rgb="FF1462B0"/>
      <name val="Arial"/>
      <family val="0"/>
      <charset val="1"/>
    </font>
    <font>
      <b val="true"/>
      <sz val="9"/>
      <color rgb="FF595959"/>
      <name val="Arial"/>
      <family val="0"/>
      <charset val="1"/>
    </font>
    <font>
      <b val="true"/>
      <sz val="12"/>
      <color rgb="FF000000"/>
      <name val="Arial"/>
      <family val="0"/>
      <charset val="1"/>
    </font>
    <font>
      <i val="true"/>
      <sz val="10"/>
      <color rgb="FF404040"/>
      <name val="Arial"/>
      <family val="0"/>
      <charset val="1"/>
    </font>
    <font>
      <sz val="10"/>
      <color rgb="FF008000"/>
      <name val="Arial"/>
      <family val="0"/>
      <charset val="1"/>
    </font>
    <font>
      <sz val="9"/>
      <color rgb="FF008000"/>
      <name val="Arial"/>
      <family val="0"/>
      <charset val="1"/>
    </font>
    <font>
      <b val="true"/>
      <sz val="8"/>
      <color rgb="FF595959"/>
      <name val="Arial"/>
      <family val="0"/>
      <charset val="1"/>
    </font>
    <font>
      <i val="true"/>
      <sz val="9"/>
      <color rgb="FF595959"/>
      <name val="Arial"/>
      <family val="0"/>
      <charset val="1"/>
    </font>
    <font>
      <b val="true"/>
      <sz val="9"/>
      <color rgb="FF000000"/>
      <name val="Arial"/>
      <family val="0"/>
      <charset val="1"/>
    </font>
    <font>
      <sz val="8"/>
      <color rgb="FF595959"/>
      <name val="Arial"/>
      <family val="0"/>
      <charset val="1"/>
    </font>
    <font>
      <sz val="9"/>
      <color rgb="FF9C5700"/>
      <name val="Arial"/>
      <family val="0"/>
      <charset val="1"/>
    </font>
    <font>
      <i val="true"/>
      <sz val="9"/>
      <color rgb="FF000000"/>
      <name val="Arial"/>
      <family val="0"/>
      <charset val="1"/>
    </font>
  </fonts>
  <fills count="19">
    <fill>
      <patternFill patternType="none"/>
    </fill>
    <fill>
      <patternFill patternType="gray125"/>
    </fill>
    <fill>
      <patternFill patternType="solid">
        <fgColor rgb="FF0A2540"/>
        <bgColor rgb="FF12365C"/>
      </patternFill>
    </fill>
    <fill>
      <patternFill patternType="solid">
        <fgColor rgb="FF12365C"/>
        <bgColor rgb="FF0A2540"/>
      </patternFill>
    </fill>
    <fill>
      <patternFill patternType="solid">
        <fgColor rgb="FF1878C4"/>
        <bgColor rgb="FF1478C5"/>
      </patternFill>
    </fill>
    <fill>
      <patternFill patternType="solid">
        <fgColor rgb="FFFFFFFF"/>
        <bgColor rgb="FFF2F2F2"/>
      </patternFill>
    </fill>
    <fill>
      <patternFill patternType="solid">
        <fgColor rgb="FF167F7B"/>
        <bgColor rgb="FF1A817E"/>
      </patternFill>
    </fill>
    <fill>
      <patternFill patternType="solid">
        <fgColor rgb="FF4A7F28"/>
        <bgColor rgb="FF595959"/>
      </patternFill>
    </fill>
    <fill>
      <patternFill patternType="solid">
        <fgColor rgb="FF3E5670"/>
        <bgColor rgb="FF595959"/>
      </patternFill>
    </fill>
    <fill>
      <patternFill patternType="solid">
        <fgColor rgb="FFEAF4FB"/>
        <bgColor rgb="FFF2F2F2"/>
      </patternFill>
    </fill>
    <fill>
      <patternFill patternType="solid">
        <fgColor rgb="FFC6EFCE"/>
        <bgColor rgb="FFD9D9D9"/>
      </patternFill>
    </fill>
    <fill>
      <patternFill patternType="solid">
        <fgColor rgb="FFFFC7CE"/>
        <bgColor rgb="FFD9D9D9"/>
      </patternFill>
    </fill>
    <fill>
      <patternFill patternType="solid">
        <fgColor rgb="FF1478C5"/>
        <bgColor rgb="FF1878C4"/>
      </patternFill>
    </fill>
    <fill>
      <patternFill patternType="solid">
        <fgColor rgb="FF157BB7"/>
        <bgColor rgb="FF177DAB"/>
      </patternFill>
    </fill>
    <fill>
      <patternFill patternType="solid">
        <fgColor rgb="FF177DAB"/>
        <bgColor rgb="FF157BB7"/>
      </patternFill>
    </fill>
    <fill>
      <patternFill patternType="solid">
        <fgColor rgb="FF197F9E"/>
        <bgColor rgb="FF198092"/>
      </patternFill>
    </fill>
    <fill>
      <patternFill patternType="solid">
        <fgColor rgb="FF198092"/>
        <bgColor rgb="FF198188"/>
      </patternFill>
    </fill>
    <fill>
      <patternFill patternType="solid">
        <fgColor rgb="FF198188"/>
        <bgColor rgb="FF1A817E"/>
      </patternFill>
    </fill>
    <fill>
      <patternFill patternType="solid">
        <fgColor rgb="FF1A817E"/>
        <bgColor rgb="FF167F7B"/>
      </patternFill>
    </fill>
  </fills>
  <borders count="4">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ck">
        <color rgb="FFFFFFFF"/>
      </left>
      <right/>
      <top/>
      <bottom/>
      <diagonal/>
    </border>
    <border diagonalUp="false" diagonalDown="false">
      <left/>
      <right/>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11"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center" textRotation="0" wrapText="tru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8" fillId="5" borderId="1" xfId="0" applyFont="true" applyBorder="true" applyAlignment="true" applyProtection="false">
      <alignment horizontal="general" vertical="center" textRotation="0" wrapText="fals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64" fontId="7" fillId="6" borderId="0" xfId="0" applyFont="tru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11" fillId="5" borderId="1" xfId="0" applyFont="true" applyBorder="true" applyAlignment="true" applyProtection="false">
      <alignment horizontal="general" vertical="center" textRotation="0" wrapText="false" indent="0" shrinkToFit="false"/>
      <protection locked="true" hidden="false"/>
    </xf>
    <xf numFmtId="164" fontId="7" fillId="7" borderId="0" xfId="0" applyFont="true" applyBorder="false" applyAlignment="false" applyProtection="false">
      <alignment horizontal="general" vertical="bottom"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7" fillId="8" borderId="0" xfId="0" applyFont="true" applyBorder="false" applyAlignment="false" applyProtection="false">
      <alignment horizontal="general" vertical="bottom"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4" fillId="9" borderId="1" xfId="0" applyFont="true" applyBorder="true" applyAlignment="false" applyProtection="false">
      <alignment horizontal="general" vertical="bottom" textRotation="0" wrapText="false" indent="0" shrinkToFit="false"/>
      <protection locked="true" hidden="false"/>
    </xf>
    <xf numFmtId="164" fontId="15" fillId="5" borderId="1" xfId="0" applyFont="true" applyBorder="true" applyAlignment="false" applyProtection="false">
      <alignment horizontal="general" vertical="bottom" textRotation="0" wrapText="false" indent="0" shrinkToFit="false"/>
      <protection locked="true" hidden="false"/>
    </xf>
    <xf numFmtId="164" fontId="16" fillId="5" borderId="1" xfId="0" applyFont="true" applyBorder="true" applyAlignment="false" applyProtection="false">
      <alignment horizontal="general" vertical="bottom" textRotation="0" wrapText="false" indent="0" shrinkToFit="false"/>
      <protection locked="true" hidden="false"/>
    </xf>
    <xf numFmtId="164" fontId="17" fillId="10" borderId="1" xfId="0" applyFont="true" applyBorder="true" applyAlignment="false" applyProtection="false">
      <alignment horizontal="general" vertical="bottom" textRotation="0" wrapText="false" indent="0" shrinkToFit="false"/>
      <protection locked="true" hidden="false"/>
    </xf>
    <xf numFmtId="164" fontId="18" fillId="11" borderId="1" xfId="0" applyFont="true" applyBorder="tru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6" fillId="6" borderId="0" xfId="0" applyFont="true" applyBorder="false" applyAlignment="false" applyProtection="false">
      <alignment horizontal="general" vertical="bottom" textRotation="0" wrapText="false" indent="0" shrinkToFit="false"/>
      <protection locked="true" hidden="false"/>
    </xf>
    <xf numFmtId="164" fontId="6" fillId="7"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9" fillId="0" borderId="0" xfId="0" applyFont="true" applyBorder="false" applyAlignment="true" applyProtection="false">
      <alignment horizontal="general" vertical="top" textRotation="0" wrapText="false" indent="0" shrinkToFit="false"/>
      <protection locked="true" hidden="false"/>
    </xf>
    <xf numFmtId="164" fontId="20" fillId="0" borderId="0" xfId="0" applyFont="true" applyBorder="true" applyAlignment="true" applyProtection="false">
      <alignment horizontal="right" vertical="center" textRotation="0" wrapText="true" indent="0" shrinkToFit="false"/>
      <protection locked="true" hidden="false"/>
    </xf>
    <xf numFmtId="164" fontId="5" fillId="0" borderId="0" xfId="0" applyFont="true" applyBorder="true" applyAlignment="true" applyProtection="false">
      <alignment horizontal="right" vertical="center" textRotation="0" wrapText="true" indent="0" shrinkToFit="false"/>
      <protection locked="true" hidden="false"/>
    </xf>
    <xf numFmtId="164" fontId="21" fillId="0" borderId="0" xfId="0" applyFont="true" applyBorder="true" applyAlignment="true" applyProtection="false">
      <alignment horizontal="right" vertical="center" textRotation="0" wrapText="tru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4" fontId="23" fillId="2"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true" applyAlignment="true" applyProtection="false">
      <alignment horizontal="left" vertical="center" textRotation="0" wrapText="true" indent="0" shrinkToFit="false"/>
      <protection locked="true" hidden="false"/>
    </xf>
    <xf numFmtId="164" fontId="25" fillId="3" borderId="0" xfId="0" applyFont="true" applyBorder="true" applyAlignment="true" applyProtection="false">
      <alignment horizontal="left" vertical="center" textRotation="0" wrapText="true" indent="1" shrinkToFit="false"/>
      <protection locked="true" hidden="false"/>
    </xf>
    <xf numFmtId="164" fontId="25" fillId="3" borderId="2" xfId="0" applyFont="true" applyBorder="true" applyAlignment="true" applyProtection="false">
      <alignment horizontal="left" vertical="center" textRotation="0" wrapText="true" indent="1" shrinkToFit="false"/>
      <protection locked="true" hidden="false"/>
    </xf>
    <xf numFmtId="164" fontId="26" fillId="3" borderId="0" xfId="0" applyFont="true" applyBorder="true" applyAlignment="true" applyProtection="false">
      <alignment horizontal="left" vertical="center" textRotation="0" wrapText="true" indent="1" shrinkToFit="false"/>
      <protection locked="true" hidden="false"/>
    </xf>
    <xf numFmtId="164" fontId="26" fillId="3" borderId="2" xfId="0" applyFont="true" applyBorder="true" applyAlignment="true" applyProtection="false">
      <alignment horizontal="left" vertical="center" textRotation="0" wrapText="true" indent="1" shrinkToFit="false"/>
      <protection locked="true" hidden="false"/>
    </xf>
    <xf numFmtId="165" fontId="26" fillId="3" borderId="2" xfId="0" applyFont="true" applyBorder="true" applyAlignment="true" applyProtection="false">
      <alignment horizontal="left" vertical="center" textRotation="0" wrapText="true" indent="1" shrinkToFit="false"/>
      <protection locked="true" hidden="false"/>
    </xf>
    <xf numFmtId="164" fontId="27" fillId="3" borderId="0" xfId="0" applyFont="true" applyBorder="true" applyAlignment="true" applyProtection="false">
      <alignment horizontal="left" vertical="center" textRotation="0" wrapText="true" indent="1" shrinkToFit="false"/>
      <protection locked="true" hidden="false"/>
    </xf>
    <xf numFmtId="164" fontId="27" fillId="3" borderId="2" xfId="0" applyFont="true" applyBorder="true" applyAlignment="true" applyProtection="false">
      <alignment horizontal="left" vertical="center" textRotation="0" wrapText="true" indent="1" shrinkToFit="false"/>
      <protection locked="true" hidden="false"/>
    </xf>
    <xf numFmtId="164" fontId="28" fillId="0"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true" applyAlignment="true" applyProtection="false">
      <alignment horizontal="left" vertical="center" textRotation="0" wrapText="true" indent="0" shrinkToFit="false"/>
      <protection locked="true" hidden="false"/>
    </xf>
    <xf numFmtId="164" fontId="7" fillId="3" borderId="0" xfId="0" applyFont="true" applyBorder="true" applyAlignment="true" applyProtection="false">
      <alignment horizontal="left" vertical="center" textRotation="0" wrapText="true" indent="0" shrinkToFit="false"/>
      <protection locked="true" hidden="false"/>
    </xf>
    <xf numFmtId="164" fontId="7" fillId="3" borderId="0" xfId="0" applyFont="true" applyBorder="false" applyAlignment="true" applyProtection="false">
      <alignment horizontal="right" vertical="center" textRotation="0" wrapText="true" indent="0" shrinkToFit="false"/>
      <protection locked="true" hidden="false"/>
    </xf>
    <xf numFmtId="164" fontId="7" fillId="3" borderId="0" xfId="0" applyFont="true" applyBorder="true" applyAlignment="true" applyProtection="false">
      <alignment horizontal="center" vertical="center" textRotation="0" wrapText="true" indent="0" shrinkToFit="false"/>
      <protection locked="true" hidden="false"/>
    </xf>
    <xf numFmtId="164" fontId="29" fillId="0" borderId="3" xfId="0" applyFont="true" applyBorder="true" applyAlignment="true" applyProtection="false">
      <alignment horizontal="left" vertical="center" textRotation="0" wrapText="true" indent="0" shrinkToFit="false"/>
      <protection locked="true" hidden="false"/>
    </xf>
    <xf numFmtId="164" fontId="9" fillId="0" borderId="3" xfId="0" applyFont="true" applyBorder="true" applyAlignment="true" applyProtection="false">
      <alignment horizontal="right" vertical="center" textRotation="0" wrapText="true" indent="0" shrinkToFit="false"/>
      <protection locked="true" hidden="false"/>
    </xf>
    <xf numFmtId="165" fontId="9" fillId="0" borderId="3" xfId="0" applyFont="true" applyBorder="true" applyAlignment="true" applyProtection="false">
      <alignment horizontal="center" vertical="center" textRotation="0" wrapText="true" indent="0" shrinkToFit="false"/>
      <protection locked="true" hidden="false"/>
    </xf>
    <xf numFmtId="164" fontId="30" fillId="0" borderId="3" xfId="0" applyFont="true" applyBorder="true" applyAlignment="true" applyProtection="false">
      <alignment horizontal="left" vertical="center" textRotation="0" wrapText="true" indent="0" shrinkToFit="false"/>
      <protection locked="true" hidden="false"/>
    </xf>
    <xf numFmtId="164" fontId="10" fillId="0" borderId="3" xfId="0" applyFont="true" applyBorder="true" applyAlignment="true" applyProtection="false">
      <alignment horizontal="left" vertical="center" textRotation="0" wrapText="true" indent="0" shrinkToFit="false"/>
      <protection locked="true" hidden="false"/>
    </xf>
    <xf numFmtId="164" fontId="15" fillId="0" borderId="3" xfId="0" applyFont="true" applyBorder="true" applyAlignment="true" applyProtection="false">
      <alignment horizontal="right" vertical="center" textRotation="0" wrapText="true" indent="0" shrinkToFit="false"/>
      <protection locked="true" hidden="false"/>
    </xf>
    <xf numFmtId="165" fontId="15" fillId="0" borderId="3" xfId="0" applyFont="true" applyBorder="true" applyAlignment="true" applyProtection="false">
      <alignment horizontal="center" vertical="center" textRotation="0" wrapText="true" indent="0" shrinkToFit="false"/>
      <protection locked="true" hidden="false"/>
    </xf>
    <xf numFmtId="164" fontId="28" fillId="0" borderId="0"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right" vertical="center" textRotation="0" wrapText="true" indent="0" shrinkToFit="false"/>
      <protection locked="true" hidden="false"/>
    </xf>
    <xf numFmtId="164" fontId="31" fillId="0" borderId="0" xfId="0" applyFont="true" applyBorder="true" applyAlignment="true" applyProtection="false">
      <alignment horizontal="left" vertical="center" textRotation="0" wrapText="true" indent="0" shrinkToFit="false"/>
      <protection locked="true" hidden="false"/>
    </xf>
    <xf numFmtId="164" fontId="7" fillId="3" borderId="0" xfId="0" applyFont="true" applyBorder="false" applyAlignment="true" applyProtection="false">
      <alignment horizontal="left" vertical="center" textRotation="0" wrapText="true" indent="0" shrinkToFit="false"/>
      <protection locked="true" hidden="false"/>
    </xf>
    <xf numFmtId="164" fontId="9" fillId="0" borderId="3" xfId="0" applyFont="true" applyBorder="true" applyAlignment="true" applyProtection="false">
      <alignment horizontal="left" vertical="center" textRotation="0" wrapText="true" indent="0" shrinkToFit="false"/>
      <protection locked="true" hidden="false"/>
    </xf>
    <xf numFmtId="165" fontId="9" fillId="0" borderId="3" xfId="0" applyFont="true" applyBorder="true" applyAlignment="true" applyProtection="false">
      <alignment horizontal="right" vertical="center" textRotation="0" wrapText="true" indent="0" shrinkToFit="false"/>
      <protection locked="true" hidden="false"/>
    </xf>
    <xf numFmtId="164" fontId="15" fillId="0" borderId="3" xfId="0" applyFont="true" applyBorder="true" applyAlignment="true" applyProtection="false">
      <alignment horizontal="center" vertical="center" textRotation="0" wrapText="true" indent="0" shrinkToFit="false"/>
      <protection locked="true" hidden="false"/>
    </xf>
    <xf numFmtId="164" fontId="32" fillId="0" borderId="3" xfId="0" applyFont="true" applyBorder="true" applyAlignment="true" applyProtection="false">
      <alignment horizontal="left" vertical="center" textRotation="0" wrapText="true" indent="0" shrinkToFit="false"/>
      <protection locked="true" hidden="false"/>
    </xf>
    <xf numFmtId="164" fontId="33" fillId="0" borderId="0"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center" vertical="center" textRotation="0" wrapText="true" indent="0" shrinkToFit="false"/>
      <protection locked="true" hidden="false"/>
    </xf>
    <xf numFmtId="164" fontId="19" fillId="0" borderId="0"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34" fillId="9" borderId="1" xfId="0" applyFont="true" applyBorder="true" applyAlignment="true" applyProtection="true">
      <alignment horizontal="general" vertical="top" textRotation="0" wrapText="true" indent="0" shrinkToFit="false"/>
      <protection locked="false" hidden="false"/>
    </xf>
    <xf numFmtId="164" fontId="24" fillId="0" borderId="0" xfId="0" applyFont="true" applyBorder="true" applyAlignment="true" applyProtection="false">
      <alignment horizontal="general" vertical="center" textRotation="0" wrapText="true" indent="0" shrinkToFit="false"/>
      <protection locked="true" hidden="false"/>
    </xf>
    <xf numFmtId="164" fontId="35" fillId="0" borderId="0" xfId="0" applyFont="true" applyBorder="false" applyAlignment="true" applyProtection="false">
      <alignment horizontal="general" vertical="bottom" textRotation="0" wrapText="true" indent="0" shrinkToFit="false"/>
      <protection locked="true" hidden="false"/>
    </xf>
    <xf numFmtId="165" fontId="4" fillId="0" borderId="0" xfId="0" applyFont="true" applyBorder="false" applyAlignment="true" applyProtection="false">
      <alignment horizontal="left" vertical="bottom" textRotation="0" wrapText="false" indent="0" shrinkToFit="false"/>
      <protection locked="true" hidden="false"/>
    </xf>
    <xf numFmtId="166" fontId="4" fillId="0" borderId="0" xfId="0" applyFont="true" applyBorder="false" applyAlignment="true" applyProtection="false">
      <alignment horizontal="left" vertical="bottom" textRotation="0" wrapText="false" indent="0" shrinkToFit="false"/>
      <protection locked="true" hidden="false"/>
    </xf>
    <xf numFmtId="164" fontId="36" fillId="0"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general" vertical="center" textRotation="0" wrapText="true" indent="0" shrinkToFit="false"/>
      <protection locked="true" hidden="false"/>
    </xf>
    <xf numFmtId="164" fontId="37" fillId="0" borderId="0" xfId="0" applyFont="true" applyBorder="true" applyAlignment="false" applyProtection="false">
      <alignment horizontal="general" vertical="bottom" textRotation="0" wrapText="false" indent="0" shrinkToFit="false"/>
      <protection locked="true" hidden="false"/>
    </xf>
    <xf numFmtId="164" fontId="38" fillId="5" borderId="1" xfId="0" applyFont="true" applyBorder="true" applyAlignment="true" applyProtection="false">
      <alignment horizontal="general" vertical="top" textRotation="0" wrapText="true" indent="0" shrinkToFit="false"/>
      <protection locked="true" hidden="false"/>
    </xf>
    <xf numFmtId="165" fontId="38" fillId="5" borderId="1" xfId="0" applyFont="true" applyBorder="true" applyAlignment="true" applyProtection="false">
      <alignment horizontal="general" vertical="top" textRotation="0" wrapText="true" indent="0" shrinkToFit="false"/>
      <protection locked="true" hidden="false"/>
    </xf>
    <xf numFmtId="164" fontId="38" fillId="5" borderId="1" xfId="0" applyFont="true" applyBorder="true" applyAlignment="true" applyProtection="false">
      <alignment horizontal="center" vertical="top" textRotation="0" wrapText="false" indent="0" shrinkToFit="false"/>
      <protection locked="true" hidden="false"/>
    </xf>
    <xf numFmtId="164" fontId="39" fillId="5"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6" fontId="38" fillId="5" borderId="1" xfId="0" applyFont="true" applyBorder="true" applyAlignment="true" applyProtection="false">
      <alignment horizontal="right" vertical="bottom" textRotation="0" wrapText="false" indent="0" shrinkToFit="false"/>
      <protection locked="true" hidden="false"/>
    </xf>
    <xf numFmtId="164" fontId="30" fillId="0" borderId="1" xfId="0" applyFont="true" applyBorder="true" applyAlignment="true" applyProtection="false">
      <alignment horizontal="general" vertical="top" textRotation="0" wrapText="true" indent="0" shrinkToFit="false"/>
      <protection locked="true" hidden="false"/>
    </xf>
    <xf numFmtId="164" fontId="9" fillId="5" borderId="1" xfId="0" applyFont="true" applyBorder="true" applyAlignment="true" applyProtection="false">
      <alignment horizontal="center" vertical="bottom" textRotation="0" wrapText="false" indent="0" shrinkToFit="false"/>
      <protection locked="true" hidden="false"/>
    </xf>
    <xf numFmtId="164" fontId="28" fillId="0" borderId="0" xfId="0" applyFont="tru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32"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40" fillId="0" borderId="0" xfId="0" applyFont="true" applyBorder="true" applyAlignment="false" applyProtection="false">
      <alignment horizontal="general" vertical="bottom" textRotation="0" wrapText="false" indent="0" shrinkToFit="false"/>
      <protection locked="true" hidden="false"/>
    </xf>
    <xf numFmtId="164" fontId="40" fillId="0" borderId="0" xfId="0" applyFont="true" applyBorder="false" applyAlignment="false" applyProtection="false">
      <alignment horizontal="general" vertical="bottom" textRotation="0" wrapText="false" indent="0" shrinkToFit="false"/>
      <protection locked="true" hidden="false"/>
    </xf>
    <xf numFmtId="164" fontId="41" fillId="0" borderId="0" xfId="0" applyFont="true" applyBorder="true" applyAlignment="true" applyProtection="false">
      <alignment horizontal="general" vertical="top" textRotation="0" wrapText="true" indent="0" shrinkToFit="false"/>
      <protection locked="true" hidden="false"/>
    </xf>
    <xf numFmtId="165" fontId="4" fillId="0" borderId="0" xfId="0" applyFont="true" applyBorder="true" applyAlignment="true" applyProtection="false">
      <alignment horizontal="left" vertical="top" textRotation="0" wrapText="false" indent="0" shrinkToFit="false"/>
      <protection locked="true" hidden="false"/>
    </xf>
    <xf numFmtId="164" fontId="28" fillId="0" borderId="0" xfId="0" applyFont="true" applyBorder="true" applyAlignment="true" applyProtection="false">
      <alignment horizontal="general" vertical="top" textRotation="0" wrapText="true" indent="0" shrinkToFit="false"/>
      <protection locked="true" hidden="false"/>
    </xf>
    <xf numFmtId="164" fontId="0" fillId="12" borderId="0" xfId="0" applyFont="false" applyBorder="false" applyAlignment="false" applyProtection="false">
      <alignment horizontal="general" vertical="bottom" textRotation="0" wrapText="false" indent="0" shrinkToFit="false"/>
      <protection locked="true" hidden="false"/>
    </xf>
    <xf numFmtId="164" fontId="7" fillId="12" borderId="0" xfId="0" applyFont="true" applyBorder="true" applyAlignment="false" applyProtection="false">
      <alignment horizontal="general" vertical="bottom" textRotation="0" wrapText="false" indent="0" shrinkToFit="false"/>
      <protection locked="true" hidden="false"/>
    </xf>
    <xf numFmtId="164" fontId="7" fillId="13" borderId="0" xfId="0" applyFont="true" applyBorder="true" applyAlignment="false" applyProtection="false">
      <alignment horizontal="general" vertical="bottom" textRotation="0" wrapText="false" indent="0" shrinkToFit="false"/>
      <protection locked="true" hidden="false"/>
    </xf>
    <xf numFmtId="164" fontId="7" fillId="14" borderId="0" xfId="0" applyFont="true" applyBorder="true" applyAlignment="false" applyProtection="false">
      <alignment horizontal="general" vertical="bottom" textRotation="0" wrapText="false" indent="0" shrinkToFit="false"/>
      <protection locked="true" hidden="false"/>
    </xf>
    <xf numFmtId="164" fontId="7" fillId="15" borderId="0" xfId="0" applyFont="true" applyBorder="true" applyAlignment="false" applyProtection="false">
      <alignment horizontal="general" vertical="bottom" textRotation="0" wrapText="false" indent="0" shrinkToFit="false"/>
      <protection locked="true" hidden="false"/>
    </xf>
    <xf numFmtId="164" fontId="7" fillId="16" borderId="0" xfId="0" applyFont="true" applyBorder="true" applyAlignment="false" applyProtection="false">
      <alignment horizontal="general" vertical="bottom" textRotation="0" wrapText="false" indent="0" shrinkToFit="false"/>
      <protection locked="true" hidden="false"/>
    </xf>
    <xf numFmtId="164" fontId="7" fillId="17" borderId="0" xfId="0" applyFont="true" applyBorder="true" applyAlignment="false" applyProtection="false">
      <alignment horizontal="general" vertical="bottom" textRotation="0" wrapText="false" indent="0" shrinkToFit="false"/>
      <protection locked="true" hidden="false"/>
    </xf>
    <xf numFmtId="164" fontId="7" fillId="18" borderId="0" xfId="0" applyFont="true" applyBorder="false" applyAlignment="false" applyProtection="false">
      <alignment horizontal="general" vertical="bottom" textRotation="0" wrapText="false" indent="0" shrinkToFit="false"/>
      <protection locked="true" hidden="false"/>
    </xf>
    <xf numFmtId="164" fontId="7" fillId="8" borderId="0" xfId="0" applyFont="true" applyBorder="true" applyAlignment="false" applyProtection="false">
      <alignment horizontal="general" vertical="bottom" textRotation="0" wrapText="false" indent="0" shrinkToFit="false"/>
      <protection locked="true" hidden="false"/>
    </xf>
    <xf numFmtId="164" fontId="42" fillId="0" borderId="1" xfId="0" applyFont="true" applyBorder="true" applyAlignment="true" applyProtection="false">
      <alignment horizontal="general" vertical="top" textRotation="0" wrapText="false" indent="0" shrinkToFit="false"/>
      <protection locked="true" hidden="false"/>
    </xf>
    <xf numFmtId="164" fontId="9" fillId="5" borderId="1" xfId="0" applyFont="true" applyBorder="true" applyAlignment="true" applyProtection="false">
      <alignment horizontal="general" vertical="top" textRotation="0" wrapText="true" indent="0" shrinkToFit="false"/>
      <protection locked="true" hidden="false"/>
    </xf>
    <xf numFmtId="164" fontId="43" fillId="5" borderId="1" xfId="0" applyFont="true" applyBorder="true" applyAlignment="true" applyProtection="false">
      <alignment horizontal="general" vertical="top" textRotation="0" wrapText="true" indent="0" shrinkToFit="false"/>
      <protection locked="true" hidden="false"/>
    </xf>
    <xf numFmtId="165" fontId="34" fillId="9" borderId="1" xfId="0" applyFont="true" applyBorder="true" applyAlignment="true" applyProtection="true">
      <alignment horizontal="general" vertical="top" textRotation="0" wrapText="true" indent="0" shrinkToFit="false"/>
      <protection locked="false" hidden="false"/>
    </xf>
    <xf numFmtId="167" fontId="34" fillId="9" borderId="1" xfId="0" applyFont="true" applyBorder="true" applyAlignment="true" applyProtection="true">
      <alignment horizontal="general" vertical="top" textRotation="0" wrapText="true" indent="0" shrinkToFit="false"/>
      <protection locked="false" hidden="false"/>
    </xf>
    <xf numFmtId="168" fontId="9" fillId="5" borderId="1" xfId="0" applyFont="true" applyBorder="true" applyAlignment="true" applyProtection="false">
      <alignment horizontal="general" vertical="top" textRotation="0" wrapText="true" indent="0" shrinkToFit="false"/>
      <protection locked="true" hidden="false"/>
    </xf>
    <xf numFmtId="165" fontId="9" fillId="5" borderId="1" xfId="0" applyFont="true" applyBorder="true" applyAlignment="true" applyProtection="false">
      <alignment horizontal="general" vertical="top" textRotation="0" wrapText="true" indent="0" shrinkToFit="false"/>
      <protection locked="true" hidden="false"/>
    </xf>
    <xf numFmtId="167" fontId="9" fillId="5" borderId="1" xfId="0" applyFont="true" applyBorder="true" applyAlignment="true" applyProtection="false">
      <alignment horizontal="general" vertical="top" textRotation="0" wrapText="true" indent="0" shrinkToFit="false"/>
      <protection locked="true" hidden="false"/>
    </xf>
    <xf numFmtId="164" fontId="32" fillId="5" borderId="1" xfId="0" applyFont="true" applyBorder="true" applyAlignment="true" applyProtection="false">
      <alignment horizontal="general" vertical="top" textRotation="0" wrapText="true" indent="0" shrinkToFit="false"/>
      <protection locked="true" hidden="false"/>
    </xf>
    <xf numFmtId="164" fontId="9" fillId="5" borderId="1" xfId="0" applyFont="true" applyBorder="true" applyAlignment="true" applyProtection="false">
      <alignment horizontal="center" vertical="top" textRotation="0" wrapText="false" indent="0" shrinkToFit="false"/>
      <protection locked="true" hidden="false"/>
    </xf>
    <xf numFmtId="164" fontId="44" fillId="5"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5" fillId="5" borderId="1" xfId="0" applyFont="true" applyBorder="true" applyAlignment="true" applyProtection="false">
      <alignment horizontal="general" vertical="top" textRotation="0" wrapText="true" indent="0" shrinkToFit="false"/>
      <protection locked="true" hidden="false"/>
    </xf>
    <xf numFmtId="164" fontId="31" fillId="0" borderId="0" xfId="0" applyFont="true" applyBorder="true" applyAlignment="true" applyProtection="false">
      <alignment horizontal="general" vertical="top" textRotation="0" wrapText="true" indent="0" shrinkToFit="false"/>
      <protection locked="true" hidden="false"/>
    </xf>
    <xf numFmtId="166" fontId="34" fillId="9" borderId="1" xfId="0" applyFont="true" applyBorder="true" applyAlignment="true" applyProtection="true">
      <alignment horizontal="general" vertical="top" textRotation="0" wrapText="true" indent="0" shrinkToFit="false"/>
      <protection locked="false" hidden="false"/>
    </xf>
    <xf numFmtId="169" fontId="34" fillId="9" borderId="1" xfId="0" applyFont="true" applyBorder="true" applyAlignment="true" applyProtection="true">
      <alignment horizontal="general" vertical="top" textRotation="0" wrapText="true" indent="0" shrinkToFit="false"/>
      <protection locked="false" hidden="false"/>
    </xf>
    <xf numFmtId="164" fontId="45" fillId="0" borderId="0" xfId="0" applyFont="true" applyBorder="true" applyAlignment="true" applyProtection="false">
      <alignment horizontal="general" vertical="top" textRotation="0" wrapText="true" indent="0" shrinkToFit="false"/>
      <protection locked="true" hidden="false"/>
    </xf>
    <xf numFmtId="170" fontId="9" fillId="5" borderId="1" xfId="0" applyFont="true" applyBorder="true" applyAlignment="true" applyProtection="false">
      <alignment horizontal="general" vertical="top" textRotation="0" wrapText="true" indent="0" shrinkToFit="false"/>
      <protection locked="true" hidden="false"/>
    </xf>
    <xf numFmtId="166" fontId="15" fillId="5" borderId="1" xfId="0" applyFont="true" applyBorder="true" applyAlignment="true" applyProtection="false">
      <alignment horizontal="right" vertical="bottom" textRotation="0" wrapText="false" indent="0" shrinkToFit="false"/>
      <protection locked="true" hidden="false"/>
    </xf>
    <xf numFmtId="166" fontId="9" fillId="5" borderId="1" xfId="0" applyFont="true" applyBorder="true" applyAlignment="true" applyProtection="false">
      <alignment horizontal="general" vertical="top" textRotation="0" wrapText="tru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4" fontId="33" fillId="0" borderId="0" xfId="0" applyFont="true" applyBorder="true" applyAlignment="true" applyProtection="false">
      <alignment horizontal="general" vertical="top" textRotation="0" wrapText="true" indent="0" shrinkToFit="false"/>
      <protection locked="true" hidden="false"/>
    </xf>
    <xf numFmtId="164" fontId="32"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ont>
        <name val="Arial"/>
        <charset val="1"/>
        <family val="0"/>
        <b val="1"/>
        <color rgb="FF0A2540"/>
      </font>
      <fill>
        <patternFill>
          <bgColor rgb="FFE0E523"/>
        </patternFill>
      </fill>
    </dxf>
    <dxf>
      <font>
        <name val="Arial"/>
        <charset val="1"/>
        <family val="0"/>
        <b val="1"/>
        <color rgb="FF9C5700"/>
      </font>
      <fill>
        <patternFill>
          <bgColor rgb="FFFFEB9C"/>
        </patternFill>
      </fill>
    </dxf>
    <dxf>
      <font>
        <name val="Arial"/>
        <charset val="1"/>
        <family val="0"/>
        <b val="1"/>
        <color rgb="FF7F7F7F"/>
      </font>
      <fill>
        <patternFill>
          <bgColor rgb="FFF2F2F2"/>
        </patternFill>
      </fill>
    </dxf>
    <dxf>
      <font>
        <name val="Arial"/>
        <charset val="1"/>
        <family val="0"/>
        <b val="1"/>
        <color rgb="FF006100"/>
      </font>
      <fill>
        <patternFill>
          <bgColor rgb="FFC6EFCE"/>
        </patternFill>
      </fill>
    </dxf>
    <dxf>
      <font>
        <name val="Arial"/>
        <charset val="1"/>
        <family val="0"/>
        <b val="1"/>
        <color rgb="FF9C0006"/>
      </font>
      <fill>
        <patternFill>
          <bgColor rgb="FFFFC7CE"/>
        </patternFill>
      </fill>
    </dxf>
    <dxf>
      <font>
        <name val="Arial"/>
        <charset val="1"/>
        <family val="0"/>
        <b val="1"/>
        <color rgb="FF0A2540"/>
        <sz val="11"/>
      </font>
      <fill>
        <patternFill>
          <bgColor rgb="FFE0E523"/>
        </patternFill>
      </fill>
    </dxf>
    <dxf>
      <font>
        <name val="Arial"/>
        <charset val="1"/>
        <family val="0"/>
        <b val="1"/>
        <color rgb="FF9C5700"/>
        <sz val="11"/>
      </font>
      <fill>
        <patternFill>
          <bgColor rgb="FFFFEB9C"/>
        </patternFill>
      </fill>
    </dxf>
    <dxf>
      <font>
        <name val="Arial"/>
        <charset val="1"/>
        <family val="0"/>
        <color rgb="FF006100"/>
      </font>
      <fill>
        <patternFill>
          <bgColor rgb="FFC6EFCE"/>
        </patternFill>
      </fill>
    </dxf>
    <dxf>
      <font>
        <name val="Arial"/>
        <charset val="1"/>
        <family val="0"/>
        <color rgb="FF9C5700"/>
      </font>
      <fill>
        <patternFill>
          <bgColor rgb="FFFFEB9C"/>
        </patternFill>
      </fill>
    </dxf>
  </dxfs>
  <colors>
    <indexedColors>
      <rgbColor rgb="FF000000"/>
      <rgbColor rgb="FFFFFFFF"/>
      <rgbColor rgb="FFFF0000"/>
      <rgbColor rgb="FF00FF00"/>
      <rgbColor rgb="FF1478C5"/>
      <rgbColor rgb="FFFFFF00"/>
      <rgbColor rgb="FFFF00FF"/>
      <rgbColor rgb="FF00FFFF"/>
      <rgbColor rgb="FF9C0006"/>
      <rgbColor rgb="FF008000"/>
      <rgbColor rgb="FF000080"/>
      <rgbColor rgb="FF4A7F28"/>
      <rgbColor rgb="FF800080"/>
      <rgbColor rgb="FF167F7B"/>
      <rgbColor rgb="FFBFBFBF"/>
      <rgbColor rgb="FF7F7F7F"/>
      <rgbColor rgb="FF177DAB"/>
      <rgbColor rgb="FF993366"/>
      <rgbColor rgb="FFF2F2F2"/>
      <rgbColor rgb="FFEAF4FB"/>
      <rgbColor rgb="FF660066"/>
      <rgbColor rgb="FFFF8080"/>
      <rgbColor rgb="FF1462B0"/>
      <rgbColor rgb="FFBFD4EA"/>
      <rgbColor rgb="FF000080"/>
      <rgbColor rgb="FFFF00FF"/>
      <rgbColor rgb="FFFFFF00"/>
      <rgbColor rgb="FF00FFFF"/>
      <rgbColor rgb="FF800080"/>
      <rgbColor rgb="FF800000"/>
      <rgbColor rgb="FF198188"/>
      <rgbColor rgb="FF0000FF"/>
      <rgbColor rgb="FF157BB7"/>
      <rgbColor rgb="FFD9D9D9"/>
      <rgbColor rgb="FFC6EFCE"/>
      <rgbColor rgb="FFFFEB9C"/>
      <rgbColor rgb="FF99CCFF"/>
      <rgbColor rgb="FFFF99CC"/>
      <rgbColor rgb="FFCC99FF"/>
      <rgbColor rgb="FFFFC7CE"/>
      <rgbColor rgb="FF1878C4"/>
      <rgbColor rgb="FF197F9E"/>
      <rgbColor rgb="FF99CC00"/>
      <rgbColor rgb="FFE0E523"/>
      <rgbColor rgb="FFFF9900"/>
      <rgbColor rgb="FFFF6600"/>
      <rgbColor rgb="FF595959"/>
      <rgbColor rgb="FF198092"/>
      <rgbColor rgb="FF12365C"/>
      <rgbColor rgb="FF1A817E"/>
      <rgbColor rgb="FF0A2540"/>
      <rgbColor rgb="FF006100"/>
      <rgbColor rgb="FF9C5700"/>
      <rgbColor rgb="FF993366"/>
      <rgbColor rgb="FF3E5670"/>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_rels/drawing7.xml.rels><?xml version="1.0" encoding="UTF-8"?>
<Relationships xmlns="http://schemas.openxmlformats.org/package/2006/relationships"><Relationship Id="rId1" Type="http://schemas.openxmlformats.org/officeDocument/2006/relationships/image" Target="../media/image1.png"/>
</Relationships>
</file>

<file path=xl/drawings/_rels/drawing8.xml.rels><?xml version="1.0" encoding="UTF-8"?>
<Relationships xmlns="http://schemas.openxmlformats.org/package/2006/relationships"><Relationship Id="rId1" Type="http://schemas.openxmlformats.org/officeDocument/2006/relationships/image" Target="../media/image1.png"/>
</Relationships>
</file>

<file path=xl/drawings/_rels/drawing9.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0</xdr:row>
      <xdr:rowOff>47520</xdr:rowOff>
    </xdr:from>
    <xdr:to>
      <xdr:col>1</xdr:col>
      <xdr:colOff>609480</xdr:colOff>
      <xdr:row>0</xdr:row>
      <xdr:rowOff>637560</xdr:rowOff>
    </xdr:to>
    <xdr:pic>
      <xdr:nvPicPr>
        <xdr:cNvPr id="0" name="Image 1" descr="Picture"/>
        <xdr:cNvPicPr/>
      </xdr:nvPicPr>
      <xdr:blipFill>
        <a:blip r:embed="rId1"/>
        <a:stretch/>
      </xdr:blipFill>
      <xdr:spPr>
        <a:xfrm>
          <a:off x="57240" y="47520"/>
          <a:ext cx="904680" cy="5900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0</xdr:row>
      <xdr:rowOff>47520</xdr:rowOff>
    </xdr:from>
    <xdr:to>
      <xdr:col>1</xdr:col>
      <xdr:colOff>73440</xdr:colOff>
      <xdr:row>0</xdr:row>
      <xdr:rowOff>637560</xdr:rowOff>
    </xdr:to>
    <xdr:pic>
      <xdr:nvPicPr>
        <xdr:cNvPr id="1" name="Image 1" descr="Picture"/>
        <xdr:cNvPicPr/>
      </xdr:nvPicPr>
      <xdr:blipFill>
        <a:blip r:embed="rId1"/>
        <a:stretch/>
      </xdr:blipFill>
      <xdr:spPr>
        <a:xfrm>
          <a:off x="57240" y="47520"/>
          <a:ext cx="904680" cy="5900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0</xdr:row>
      <xdr:rowOff>47520</xdr:rowOff>
    </xdr:from>
    <xdr:to>
      <xdr:col>0</xdr:col>
      <xdr:colOff>961920</xdr:colOff>
      <xdr:row>0</xdr:row>
      <xdr:rowOff>637560</xdr:rowOff>
    </xdr:to>
    <xdr:pic>
      <xdr:nvPicPr>
        <xdr:cNvPr id="2" name="Image 1" descr="Picture"/>
        <xdr:cNvPicPr/>
      </xdr:nvPicPr>
      <xdr:blipFill>
        <a:blip r:embed="rId1"/>
        <a:stretch/>
      </xdr:blipFill>
      <xdr:spPr>
        <a:xfrm>
          <a:off x="57240" y="47520"/>
          <a:ext cx="904680" cy="59004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0</xdr:row>
      <xdr:rowOff>47520</xdr:rowOff>
    </xdr:from>
    <xdr:to>
      <xdr:col>1</xdr:col>
      <xdr:colOff>609480</xdr:colOff>
      <xdr:row>0</xdr:row>
      <xdr:rowOff>637560</xdr:rowOff>
    </xdr:to>
    <xdr:pic>
      <xdr:nvPicPr>
        <xdr:cNvPr id="3" name="Image 1" descr="Picture"/>
        <xdr:cNvPicPr/>
      </xdr:nvPicPr>
      <xdr:blipFill>
        <a:blip r:embed="rId1"/>
        <a:stretch/>
      </xdr:blipFill>
      <xdr:spPr>
        <a:xfrm>
          <a:off x="57240" y="47520"/>
          <a:ext cx="904680" cy="59004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0</xdr:row>
      <xdr:rowOff>47520</xdr:rowOff>
    </xdr:from>
    <xdr:to>
      <xdr:col>0</xdr:col>
      <xdr:colOff>961920</xdr:colOff>
      <xdr:row>0</xdr:row>
      <xdr:rowOff>637560</xdr:rowOff>
    </xdr:to>
    <xdr:pic>
      <xdr:nvPicPr>
        <xdr:cNvPr id="4" name="Image 1" descr="Picture"/>
        <xdr:cNvPicPr/>
      </xdr:nvPicPr>
      <xdr:blipFill>
        <a:blip r:embed="rId1"/>
        <a:stretch/>
      </xdr:blipFill>
      <xdr:spPr>
        <a:xfrm>
          <a:off x="57240" y="47520"/>
          <a:ext cx="904680" cy="59004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0</xdr:row>
      <xdr:rowOff>47520</xdr:rowOff>
    </xdr:from>
    <xdr:to>
      <xdr:col>0</xdr:col>
      <xdr:colOff>961920</xdr:colOff>
      <xdr:row>0</xdr:row>
      <xdr:rowOff>637560</xdr:rowOff>
    </xdr:to>
    <xdr:pic>
      <xdr:nvPicPr>
        <xdr:cNvPr id="5" name="Image 1" descr="Picture"/>
        <xdr:cNvPicPr/>
      </xdr:nvPicPr>
      <xdr:blipFill>
        <a:blip r:embed="rId1"/>
        <a:stretch/>
      </xdr:blipFill>
      <xdr:spPr>
        <a:xfrm>
          <a:off x="57240" y="47520"/>
          <a:ext cx="904680" cy="59004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0</xdr:row>
      <xdr:rowOff>47520</xdr:rowOff>
    </xdr:from>
    <xdr:to>
      <xdr:col>1</xdr:col>
      <xdr:colOff>609480</xdr:colOff>
      <xdr:row>0</xdr:row>
      <xdr:rowOff>637560</xdr:rowOff>
    </xdr:to>
    <xdr:pic>
      <xdr:nvPicPr>
        <xdr:cNvPr id="6" name="Image 1" descr="Picture"/>
        <xdr:cNvPicPr/>
      </xdr:nvPicPr>
      <xdr:blipFill>
        <a:blip r:embed="rId1"/>
        <a:stretch/>
      </xdr:blipFill>
      <xdr:spPr>
        <a:xfrm>
          <a:off x="57240" y="47520"/>
          <a:ext cx="904680" cy="59004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0</xdr:row>
      <xdr:rowOff>47520</xdr:rowOff>
    </xdr:from>
    <xdr:to>
      <xdr:col>0</xdr:col>
      <xdr:colOff>961920</xdr:colOff>
      <xdr:row>0</xdr:row>
      <xdr:rowOff>637560</xdr:rowOff>
    </xdr:to>
    <xdr:pic>
      <xdr:nvPicPr>
        <xdr:cNvPr id="7" name="Image 1" descr="Picture"/>
        <xdr:cNvPicPr/>
      </xdr:nvPicPr>
      <xdr:blipFill>
        <a:blip r:embed="rId1"/>
        <a:stretch/>
      </xdr:blipFill>
      <xdr:spPr>
        <a:xfrm>
          <a:off x="57240" y="47520"/>
          <a:ext cx="904680" cy="59004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0</xdr:row>
      <xdr:rowOff>47520</xdr:rowOff>
    </xdr:from>
    <xdr:to>
      <xdr:col>0</xdr:col>
      <xdr:colOff>961920</xdr:colOff>
      <xdr:row>0</xdr:row>
      <xdr:rowOff>637560</xdr:rowOff>
    </xdr:to>
    <xdr:pic>
      <xdr:nvPicPr>
        <xdr:cNvPr id="8" name="Image 1" descr="Picture"/>
        <xdr:cNvPicPr/>
      </xdr:nvPicPr>
      <xdr:blipFill>
        <a:blip r:embed="rId1"/>
        <a:stretch/>
      </xdr:blipFill>
      <xdr:spPr>
        <a:xfrm>
          <a:off x="57240" y="47520"/>
          <a:ext cx="904680" cy="5900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_rels/sheet9.xml.rels><?xml version="1.0" encoding="UTF-8"?>
<Relationships xmlns="http://schemas.openxmlformats.org/package/2006/relationships"><Relationship Id="rId1" Type="http://schemas.openxmlformats.org/officeDocument/2006/relationships/drawing" Target="../drawings/drawing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5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62"/>
    <col collapsed="false" customWidth="true" hidden="false" outlineLevel="0" max="4" min="4" style="0" width="52"/>
  </cols>
  <sheetData>
    <row r="1" customFormat="false" ht="54" hidden="false" customHeight="tru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c r="C4" s="4"/>
      <c r="D4" s="4"/>
    </row>
    <row r="5" customFormat="false" ht="15" hidden="false" customHeight="false" outlineLevel="0" collapsed="false">
      <c r="A5" s="5"/>
      <c r="B5" s="5" t="s">
        <v>3</v>
      </c>
      <c r="C5" s="5" t="s">
        <v>4</v>
      </c>
      <c r="D5" s="5" t="s">
        <v>5</v>
      </c>
    </row>
    <row r="6" customFormat="false" ht="18" hidden="false" customHeight="true" outlineLevel="0" collapsed="false">
      <c r="A6" s="6" t="s">
        <v>6</v>
      </c>
      <c r="B6" s="7"/>
      <c r="C6" s="7"/>
      <c r="D6" s="7"/>
    </row>
    <row r="7" customFormat="false" ht="30" hidden="false" customHeight="true" outlineLevel="0" collapsed="false">
      <c r="A7" s="7"/>
      <c r="B7" s="8" t="str">
        <f aca="false">HYPERLINK("#'Example'!A1","Example  →")</f>
        <v>Example  →</v>
      </c>
      <c r="C7" s="9" t="s">
        <v>7</v>
      </c>
      <c r="D7" s="10" t="str">
        <f aca="false">"Finished example — Nordic Pumps A/S (invented numbers)"</f>
        <v>Finished example — Nordic Pumps A/S (invented numbers)</v>
      </c>
    </row>
    <row r="8" customFormat="false" ht="30" hidden="false" customHeight="true" outlineLevel="0" collapsed="false">
      <c r="A8" s="7"/>
      <c r="B8" s="8" t="str">
        <f aca="false">HYPERLINK("#'Your Case'!A1","Your Case  →")</f>
        <v>Your Case  →</v>
      </c>
      <c r="C8" s="9" t="s">
        <v>8</v>
      </c>
      <c r="D8" s="10" t="str">
        <f aca="false">IF(COUNTIF('Your Case'!C6:C30,"?*")=0,"Not started",COUNTIF('Your Case'!Y6:Y30,"Complete")&amp;" of "&amp;COUNTIF('Your Case'!C6:C30,"?*")&amp;" lines complete · "&amp;FIXED('Your Case'!X31,0)&amp;" € risk-adjusted per year")</f>
        <v>Not started</v>
      </c>
    </row>
    <row r="9" customFormat="false" ht="30" hidden="false" customHeight="true" outlineLevel="0" collapsed="false">
      <c r="A9" s="7"/>
      <c r="B9" s="8" t="str">
        <f aca="false">HYPERLINK("#'Investment'!A1","Investment  →")</f>
        <v>Investment  →</v>
      </c>
      <c r="C9" s="9" t="s">
        <v>9</v>
      </c>
      <c r="D9" s="10" t="str">
        <f aca="false">IF(Investment!E37=0,"Not started",IF(Investment!E18=0,"Own team's time is missing","One-off "&amp;FIXED(Investment!E35,0)&amp;" € · running "&amp;FIXED(Investment!E36,0)&amp;" € per year"))</f>
        <v>Not started</v>
      </c>
    </row>
    <row r="10" customFormat="false" ht="30" hidden="false" customHeight="true" outlineLevel="0" collapsed="false">
      <c r="A10" s="7"/>
      <c r="B10" s="8" t="str">
        <f aca="false">HYPERLINK("#'Executive Summary'!A1","Executive Summary  →")</f>
        <v>Executive Summary  →</v>
      </c>
      <c r="C10" s="9" t="s">
        <v>10</v>
      </c>
      <c r="D10" s="10" t="str">
        <f aca="false">IF('CFO Appendix'!C20=0,"Waiting for Your Case",'Executive Summary'!A19&amp;" · "&amp;IF(COUNTIF('Executive Summary'!B39:B45,"OK")=7,"Ready for the CFO","Not ready — "&amp;(7-COUNTIF('Executive Summary'!B39:B45,"OK"))&amp;" check(s) to fix"))</f>
        <v>Waiting for Your Case</v>
      </c>
    </row>
    <row r="11" customFormat="false" ht="30" hidden="false" customHeight="true" outlineLevel="0" collapsed="false">
      <c r="A11" s="7"/>
      <c r="B11" s="8" t="str">
        <f aca="false">HYPERLINK("#'CFO One-Pager'!A1","CFO One-Pager  →")</f>
        <v>CFO One-Pager  →</v>
      </c>
      <c r="C11" s="9" t="s">
        <v>11</v>
      </c>
      <c r="D11" s="10" t="str">
        <f aca="false">IF('CFO Appendix'!C20=0,"Waiting for Your Case","Print-ready · "&amp;'Executive Summary'!A19)</f>
        <v>Waiting for Your Case</v>
      </c>
    </row>
    <row r="12" customFormat="false" ht="30" hidden="false" customHeight="true" outlineLevel="0" collapsed="false">
      <c r="A12" s="7"/>
      <c r="B12" s="8" t="str">
        <f aca="false">HYPERLINK("#'CFO Appendix'!A1","CFO Appendix  →")</f>
        <v>CFO Appendix  →</v>
      </c>
      <c r="C12" s="9" t="s">
        <v>12</v>
      </c>
      <c r="D12" s="10" t="str">
        <f aca="false">IF('CFO Appendix'!C20=0,"Waiting for Your Case","Base Case payback: "&amp;IF(ISNUMBER('CFO Appendix'!C31),'CFO Appendix'!C31&amp;" months",'CFO Appendix'!C31)&amp;" · stress test: "&amp;IF(ISNUMBER('CFO Appendix'!E31),'CFO Appendix'!E31&amp;" months",'CFO Appendix'!E31))</f>
        <v>Waiting for Your Case</v>
      </c>
    </row>
    <row r="13" customFormat="false" ht="18" hidden="false" customHeight="true" outlineLevel="0" collapsed="false">
      <c r="A13" s="11" t="s">
        <v>13</v>
      </c>
      <c r="B13" s="12"/>
      <c r="C13" s="12"/>
      <c r="D13" s="12"/>
    </row>
    <row r="14" customFormat="false" ht="30" hidden="false" customHeight="true" outlineLevel="0" collapsed="false">
      <c r="A14" s="12"/>
      <c r="B14" s="13" t="s">
        <v>14</v>
      </c>
      <c r="C14" s="9" t="s">
        <v>15</v>
      </c>
      <c r="D14" s="10" t="str">
        <f aca="false">"Full edition — included when you work with BenefitPartner"</f>
        <v>Full edition — included when you work with BenefitPartner</v>
      </c>
    </row>
    <row r="15" customFormat="false" ht="18" hidden="false" customHeight="true" outlineLevel="0" collapsed="false">
      <c r="A15" s="14" t="s">
        <v>16</v>
      </c>
      <c r="B15" s="15"/>
      <c r="C15" s="15"/>
      <c r="D15" s="15"/>
    </row>
    <row r="16" customFormat="false" ht="30" hidden="false" customHeight="true" outlineLevel="0" collapsed="false">
      <c r="A16" s="15"/>
      <c r="B16" s="13" t="s">
        <v>17</v>
      </c>
      <c r="C16" s="9" t="s">
        <v>18</v>
      </c>
      <c r="D16" s="10" t="str">
        <f aca="false">"Full edition — included when you work with BenefitPartner"</f>
        <v>Full edition — included when you work with BenefitPartner</v>
      </c>
    </row>
    <row r="17" customFormat="false" ht="18" hidden="false" customHeight="true" outlineLevel="0" collapsed="false">
      <c r="A17" s="16" t="s">
        <v>19</v>
      </c>
      <c r="B17" s="17"/>
      <c r="C17" s="17"/>
      <c r="D17" s="17"/>
    </row>
    <row r="18" customFormat="false" ht="30" hidden="false" customHeight="true" outlineLevel="0" collapsed="false">
      <c r="A18" s="17"/>
      <c r="B18" s="8" t="str">
        <f aca="false">HYPERLINK("#'Library'!A1","Library  →")</f>
        <v>Library  →</v>
      </c>
      <c r="C18" s="9" t="s">
        <v>20</v>
      </c>
      <c r="D18" s="10" t="str">
        <f aca="false">"Reference — do not sort"</f>
        <v>Reference — do not sort</v>
      </c>
    </row>
    <row r="19" customFormat="false" ht="30" hidden="false" customHeight="true" outlineLevel="0" collapsed="false">
      <c r="A19" s="17"/>
      <c r="B19" s="8" t="str">
        <f aca="false">HYPERLINK("#'Glossary'!A1","Glossary  →")</f>
        <v>Glossary  →</v>
      </c>
      <c r="C19" s="9" t="s">
        <v>21</v>
      </c>
      <c r="D19" s="10" t="str">
        <f aca="false">"Reference"</f>
        <v>Reference</v>
      </c>
    </row>
    <row r="21" customFormat="false" ht="15" hidden="false" customHeight="false" outlineLevel="0" collapsed="false">
      <c r="A21" s="3" t="s">
        <v>22</v>
      </c>
      <c r="B21" s="4"/>
      <c r="C21" s="4"/>
      <c r="D21" s="4"/>
    </row>
    <row r="22" customFormat="false" ht="30" hidden="false" customHeight="true" outlineLevel="0" collapsed="false">
      <c r="B22" s="18" t="str">
        <f aca="false">COUNTA(Library!$Q$5:$Q$15)&amp;" domains × 3 components × 5 = "&amp;COUNTA(Library!$E$5:$E$169)&amp;" capabilities"</f>
        <v>11 domains × 3 components × 5 = 165 capabilities</v>
      </c>
      <c r="C22" s="19" t="s">
        <v>23</v>
      </c>
      <c r="D22" s="19"/>
    </row>
    <row r="23" customFormat="false" ht="30" hidden="false" customHeight="true" outlineLevel="0" collapsed="false">
      <c r="B23" s="18" t="s">
        <v>24</v>
      </c>
      <c r="C23" s="19" t="s">
        <v>25</v>
      </c>
      <c r="D23" s="19"/>
    </row>
    <row r="24" customFormat="false" ht="30" hidden="false" customHeight="true" outlineLevel="0" collapsed="false">
      <c r="B24" s="18" t="str">
        <f aca="false">COUNTIF(Library!$G$5:$G$169,"Yes")&amp;" SEE IT · "&amp;COUNTIF(Library!$H$5:$H$169,"Yes")&amp;" STEER IT · "&amp;COUNTIF(Library!$I$5:$I$169,"Yes")&amp;" KEEP IT"</f>
        <v>65 SEE IT · 92 STEER IT · 87 KEEP IT</v>
      </c>
      <c r="C24" s="19" t="s">
        <v>26</v>
      </c>
      <c r="D24" s="19"/>
    </row>
    <row r="25" customFormat="false" ht="30" hidden="false" customHeight="true" outlineLevel="0" collapsed="false">
      <c r="B25" s="18" t="s">
        <v>27</v>
      </c>
      <c r="C25" s="19" t="s">
        <v>28</v>
      </c>
      <c r="D25" s="19"/>
    </row>
    <row r="27" customFormat="false" ht="15" hidden="false" customHeight="false" outlineLevel="0" collapsed="false">
      <c r="A27" s="3" t="s">
        <v>29</v>
      </c>
      <c r="B27" s="4"/>
      <c r="C27" s="4"/>
      <c r="D27" s="4"/>
    </row>
    <row r="28" customFormat="false" ht="30" hidden="false" customHeight="true" outlineLevel="0" collapsed="false">
      <c r="A28" s="20" t="s">
        <v>30</v>
      </c>
      <c r="B28" s="21" t="s">
        <v>31</v>
      </c>
      <c r="C28" s="19" t="s">
        <v>32</v>
      </c>
      <c r="D28" s="19"/>
    </row>
    <row r="29" customFormat="false" ht="43.5" hidden="false" customHeight="true" outlineLevel="0" collapsed="false">
      <c r="A29" s="20" t="s">
        <v>33</v>
      </c>
      <c r="B29" s="21" t="s">
        <v>34</v>
      </c>
      <c r="C29" s="19" t="s">
        <v>35</v>
      </c>
      <c r="D29" s="19"/>
    </row>
    <row r="30" customFormat="false" ht="30" hidden="false" customHeight="true" outlineLevel="0" collapsed="false">
      <c r="A30" s="20" t="s">
        <v>36</v>
      </c>
      <c r="B30" s="21" t="s">
        <v>37</v>
      </c>
      <c r="C30" s="19" t="s">
        <v>38</v>
      </c>
      <c r="D30" s="19"/>
    </row>
    <row r="31" customFormat="false" ht="30" hidden="false" customHeight="true" outlineLevel="0" collapsed="false">
      <c r="A31" s="20" t="s">
        <v>39</v>
      </c>
      <c r="B31" s="21" t="s">
        <v>40</v>
      </c>
      <c r="C31" s="19" t="s">
        <v>41</v>
      </c>
      <c r="D31" s="19"/>
    </row>
    <row r="32" customFormat="false" ht="30" hidden="false" customHeight="true" outlineLevel="0" collapsed="false">
      <c r="B32" s="21" t="s">
        <v>42</v>
      </c>
      <c r="C32" s="19" t="s">
        <v>43</v>
      </c>
      <c r="D32" s="19"/>
    </row>
    <row r="34" customFormat="false" ht="15" hidden="false" customHeight="false" outlineLevel="0" collapsed="false">
      <c r="A34" s="3" t="s">
        <v>44</v>
      </c>
      <c r="B34" s="4"/>
      <c r="C34" s="4"/>
      <c r="D34" s="4"/>
    </row>
    <row r="35" customFormat="false" ht="15" hidden="false" customHeight="true" outlineLevel="0" collapsed="false">
      <c r="B35" s="22" t="s">
        <v>45</v>
      </c>
      <c r="C35" s="19" t="s">
        <v>46</v>
      </c>
      <c r="D35" s="19"/>
    </row>
    <row r="36" customFormat="false" ht="15" hidden="false" customHeight="true" outlineLevel="0" collapsed="false">
      <c r="B36" s="23" t="s">
        <v>47</v>
      </c>
      <c r="C36" s="19" t="s">
        <v>48</v>
      </c>
      <c r="D36" s="19"/>
    </row>
    <row r="37" customFormat="false" ht="15" hidden="false" customHeight="true" outlineLevel="0" collapsed="false">
      <c r="B37" s="24" t="s">
        <v>49</v>
      </c>
      <c r="C37" s="19" t="s">
        <v>50</v>
      </c>
      <c r="D37" s="19"/>
    </row>
    <row r="38" customFormat="false" ht="15" hidden="false" customHeight="true" outlineLevel="0" collapsed="false">
      <c r="B38" s="25" t="s">
        <v>51</v>
      </c>
      <c r="C38" s="19" t="s">
        <v>52</v>
      </c>
      <c r="D38" s="19"/>
    </row>
    <row r="39" customFormat="false" ht="15" hidden="false" customHeight="true" outlineLevel="0" collapsed="false">
      <c r="B39" s="26" t="s">
        <v>53</v>
      </c>
      <c r="C39" s="19" t="s">
        <v>54</v>
      </c>
      <c r="D39" s="19"/>
    </row>
    <row r="41" customFormat="false" ht="15" hidden="false" customHeight="false" outlineLevel="0" collapsed="false">
      <c r="A41" s="3" t="s">
        <v>55</v>
      </c>
      <c r="B41" s="4"/>
      <c r="C41" s="4"/>
      <c r="D41" s="4"/>
    </row>
    <row r="42" customFormat="false" ht="15" hidden="false" customHeight="true" outlineLevel="0" collapsed="false">
      <c r="B42" s="27" t="s">
        <v>56</v>
      </c>
      <c r="C42" s="19" t="s">
        <v>57</v>
      </c>
      <c r="D42" s="19"/>
    </row>
    <row r="43" customFormat="false" ht="15" hidden="false" customHeight="true" outlineLevel="0" collapsed="false">
      <c r="B43" s="28" t="s">
        <v>58</v>
      </c>
      <c r="C43" s="19" t="s">
        <v>59</v>
      </c>
      <c r="D43" s="19"/>
    </row>
    <row r="44" customFormat="false" ht="15" hidden="false" customHeight="true" outlineLevel="0" collapsed="false">
      <c r="B44" s="29" t="s">
        <v>60</v>
      </c>
      <c r="C44" s="19" t="s">
        <v>61</v>
      </c>
      <c r="D44" s="19"/>
    </row>
    <row r="46" customFormat="false" ht="15" hidden="false" customHeight="false" outlineLevel="0" collapsed="false">
      <c r="A46" s="3" t="s">
        <v>62</v>
      </c>
      <c r="B46" s="4"/>
      <c r="C46" s="4"/>
      <c r="D46" s="4"/>
    </row>
    <row r="47" customFormat="false" ht="30" hidden="false" customHeight="true" outlineLevel="0" collapsed="false">
      <c r="B47" s="30" t="s">
        <v>63</v>
      </c>
      <c r="C47" s="19" t="s">
        <v>64</v>
      </c>
      <c r="D47" s="19"/>
    </row>
    <row r="48" customFormat="false" ht="30" hidden="false" customHeight="true" outlineLevel="0" collapsed="false">
      <c r="B48" s="30" t="s">
        <v>65</v>
      </c>
      <c r="C48" s="19" t="s">
        <v>66</v>
      </c>
      <c r="D48" s="19"/>
    </row>
    <row r="49" customFormat="false" ht="30" hidden="false" customHeight="true" outlineLevel="0" collapsed="false">
      <c r="B49" s="30" t="s">
        <v>67</v>
      </c>
      <c r="C49" s="19" t="s">
        <v>68</v>
      </c>
      <c r="D49" s="19"/>
    </row>
    <row r="51" customFormat="false" ht="15" hidden="false" customHeight="false" outlineLevel="0" collapsed="false">
      <c r="A51" s="31" t="s">
        <v>69</v>
      </c>
    </row>
  </sheetData>
  <sheetProtection sheet="true" formatColumns="false" formatRows="false"/>
  <mergeCells count="20">
    <mergeCell ref="C22:D22"/>
    <mergeCell ref="C23:D23"/>
    <mergeCell ref="C24:D24"/>
    <mergeCell ref="C25:D25"/>
    <mergeCell ref="C28:D28"/>
    <mergeCell ref="C29:D29"/>
    <mergeCell ref="C30:D30"/>
    <mergeCell ref="C31:D31"/>
    <mergeCell ref="C32:D32"/>
    <mergeCell ref="C35:D35"/>
    <mergeCell ref="C36:D36"/>
    <mergeCell ref="C37:D37"/>
    <mergeCell ref="C38:D38"/>
    <mergeCell ref="C39:D39"/>
    <mergeCell ref="C42:D42"/>
    <mergeCell ref="C43:D43"/>
    <mergeCell ref="C44:D44"/>
    <mergeCell ref="C47:D47"/>
    <mergeCell ref="C48:D48"/>
    <mergeCell ref="C49:D49"/>
  </mergeCells>
  <conditionalFormatting sqref="D7:D19">
    <cfRule type="expression" priority="2" aboveAverage="0" equalAverage="0" bottom="0" percent="0" rank="0" text="" dxfId="0">
      <formula>ISNUMBER(SEARCH("Ready for the CFO",D7))</formula>
    </cfRule>
    <cfRule type="expression" priority="3" aboveAverage="0" equalAverage="0" bottom="0" percent="0" rank="0" text="" dxfId="1">
      <formula>OR(ISNUMBER(SEARCH("Not ready",D7)),ISNUMBER(SEARCH("missing",D7)))</formula>
    </cfRule>
    <cfRule type="expression" priority="4" aboveAverage="0" equalAverage="0" bottom="0" percent="0" rank="0" text="" dxfId="2">
      <formula>OR(LEFT(D7,11)="Not started",LEFT(D7,7)="Waiting")</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BenefitPartner · The Business Case Method&amp;R&amp;8 benefitpartner.dk · &amp;P /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8" min="1" style="0" width="12.61"/>
  </cols>
  <sheetData>
    <row r="1" customFormat="false" ht="54" hidden="false" customHeight="true" outlineLevel="0" collapsed="false">
      <c r="C1" s="32" t="s">
        <v>70</v>
      </c>
      <c r="D1" s="32"/>
      <c r="E1" s="32"/>
      <c r="F1" s="32"/>
      <c r="G1" s="32"/>
      <c r="H1" s="32"/>
    </row>
    <row r="2" customFormat="false" ht="15" hidden="false" customHeight="false" outlineLevel="0" collapsed="false">
      <c r="A2" s="33" t="str">
        <f aca="false">IF('Executive Summary'!B5="","Case name · organisation · date — fill in at the top of the Executive Summary",'Executive Summary'!B5&amp;IF('Executive Summary'!B6="",""," · "&amp;'Executive Summary'!B6)&amp;IF('Executive Summary'!B8="",""," · "&amp;IF(ISNUMBER('Executive Summary'!B8),TEXT('Executive Summary'!B8,"yyyy-mm-dd"),'Executive Summary'!B8)))</f>
        <v>Case name · organisation · date — fill in at the top of the Executive Summary</v>
      </c>
      <c r="B2" s="33"/>
      <c r="C2" s="33"/>
      <c r="D2" s="33"/>
      <c r="E2" s="33"/>
      <c r="F2" s="33"/>
      <c r="G2" s="33"/>
      <c r="H2" s="33"/>
    </row>
    <row r="3" customFormat="false" ht="15" hidden="false" customHeight="false" outlineLevel="0" collapsed="false">
      <c r="A3" s="34" t="str">
        <f aca="false">IF('Executive Summary'!B7="","","Prepared by "&amp;'Executive Summary'!B7)</f>
        <v/>
      </c>
      <c r="B3" s="34"/>
      <c r="C3" s="34"/>
      <c r="D3" s="34"/>
      <c r="E3" s="34"/>
      <c r="F3" s="34"/>
      <c r="G3" s="34"/>
      <c r="H3" s="35" t="str">
        <f aca="false">HYPERLINK("#'Start Here'!A4","← Case Map")</f>
        <v>← Case Map</v>
      </c>
    </row>
    <row r="5" customFormat="false" ht="18" hidden="false" customHeight="true" outlineLevel="0" collapsed="false">
      <c r="A5" s="36" t="s">
        <v>71</v>
      </c>
      <c r="B5" s="4"/>
      <c r="C5" s="4"/>
      <c r="D5" s="4"/>
      <c r="E5" s="4"/>
      <c r="F5" s="4"/>
      <c r="G5" s="4"/>
      <c r="H5" s="4"/>
    </row>
    <row r="6" customFormat="false" ht="24" hidden="false" customHeight="true" outlineLevel="0" collapsed="false">
      <c r="A6" s="37" t="str">
        <f aca="false">'Executive Summary'!A11</f>
        <v>Fill in Your Case and Investment — the answer appears here.</v>
      </c>
      <c r="B6" s="37"/>
      <c r="C6" s="37"/>
      <c r="D6" s="37"/>
      <c r="E6" s="37"/>
      <c r="F6" s="37"/>
      <c r="G6" s="37"/>
      <c r="H6" s="37"/>
    </row>
    <row r="7" customFormat="false" ht="24" hidden="false" customHeight="true" outlineLevel="0" collapsed="false">
      <c r="A7" s="37"/>
      <c r="B7" s="37"/>
      <c r="C7" s="37"/>
      <c r="D7" s="37"/>
      <c r="E7" s="37"/>
      <c r="F7" s="37"/>
      <c r="G7" s="37"/>
      <c r="H7" s="37"/>
    </row>
    <row r="9" customFormat="false" ht="18" hidden="false" customHeight="true" outlineLevel="0" collapsed="false">
      <c r="A9" s="36" t="s">
        <v>72</v>
      </c>
      <c r="B9" s="4"/>
      <c r="C9" s="4"/>
      <c r="D9" s="4"/>
      <c r="E9" s="4"/>
      <c r="F9" s="4"/>
      <c r="G9" s="4"/>
      <c r="H9" s="4"/>
    </row>
    <row r="10" customFormat="false" ht="18" hidden="false" customHeight="true" outlineLevel="0" collapsed="false">
      <c r="A10" s="38" t="s">
        <v>73</v>
      </c>
      <c r="B10" s="38"/>
      <c r="C10" s="39" t="s">
        <v>74</v>
      </c>
      <c r="D10" s="39"/>
      <c r="E10" s="39" t="s">
        <v>75</v>
      </c>
      <c r="F10" s="39"/>
      <c r="G10" s="39" t="s">
        <v>76</v>
      </c>
      <c r="H10" s="39"/>
    </row>
    <row r="11" customFormat="false" ht="33.75" hidden="false" customHeight="true" outlineLevel="0" collapsed="false">
      <c r="A11" s="40" t="str">
        <f aca="false">IF('CFO Appendix'!C20=0,"–",IF(ISNUMBER('CFO Appendix'!C31),'CFO Appendix'!C31&amp;" months","&gt; 3 years"))</f>
        <v>–</v>
      </c>
      <c r="B11" s="40"/>
      <c r="C11" s="41" t="str">
        <f aca="false">IF('CFO Appendix'!C20=0,"–",IF(ISNUMBER('CFO Appendix'!B31),'CFO Appendix'!B31&amp;" months","&gt; 3 years"))</f>
        <v>–</v>
      </c>
      <c r="D11" s="41"/>
      <c r="E11" s="42" t="n">
        <f aca="false">Investment!E35</f>
        <v>0</v>
      </c>
      <c r="F11" s="42"/>
      <c r="G11" s="42" t="n">
        <f aca="false">'Your Case'!X31</f>
        <v>0</v>
      </c>
      <c r="H11" s="42"/>
    </row>
    <row r="12" customFormat="false" ht="24" hidden="false" customHeight="true" outlineLevel="0" collapsed="false">
      <c r="A12" s="43" t="str">
        <f aca="false">"All benefits, weighted by how sure"</f>
        <v>All benefits, weighted by how sure</v>
      </c>
      <c r="B12" s="43"/>
      <c r="C12" s="44" t="str">
        <f aca="false">"Only measured, bottom-line benefits"</f>
        <v>Only measured, bottom-line benefits</v>
      </c>
      <c r="D12" s="44"/>
      <c r="E12" s="44" t="str">
        <f aca="false">"Incl. own time · running "&amp;FIXED(Investment!E36,0)&amp;" €/yr"</f>
        <v>Incl. own time · running 0 €/yr</v>
      </c>
      <c r="F12" s="44"/>
      <c r="G12" s="44" t="str">
        <f aca="false">"Risk-adjusted · face value "&amp;FIXED('CFO Appendix'!D20,0)&amp;" €"</f>
        <v>Risk-adjusted · face value 0 €</v>
      </c>
      <c r="H12" s="44"/>
    </row>
    <row r="14" customFormat="false" ht="18" hidden="false" customHeight="true" outlineLevel="0" collapsed="false">
      <c r="A14" s="36" t="s">
        <v>77</v>
      </c>
      <c r="B14" s="4"/>
      <c r="C14" s="4"/>
      <c r="D14" s="4"/>
      <c r="E14" s="4"/>
      <c r="F14" s="4"/>
      <c r="G14" s="4"/>
      <c r="H14" s="4"/>
    </row>
    <row r="15" customFormat="false" ht="33.75" hidden="false" customHeight="true" outlineLevel="0" collapsed="false">
      <c r="A15" s="45" t="str">
        <f aca="false">'Executive Summary'!A19</f>
        <v>–</v>
      </c>
      <c r="B15" s="45"/>
      <c r="C15" s="46" t="str">
        <f aca="false">'Executive Summary'!B19</f>
        <v/>
      </c>
      <c r="D15" s="46"/>
      <c r="E15" s="46"/>
      <c r="F15" s="46"/>
      <c r="G15" s="46"/>
      <c r="H15" s="46"/>
    </row>
    <row r="17" customFormat="false" ht="18" hidden="false" customHeight="true" outlineLevel="0" collapsed="false">
      <c r="A17" s="36" t="s">
        <v>78</v>
      </c>
      <c r="B17" s="4"/>
      <c r="C17" s="4"/>
      <c r="D17" s="4"/>
      <c r="E17" s="4"/>
      <c r="F17" s="4"/>
      <c r="G17" s="4"/>
      <c r="H17" s="4"/>
    </row>
    <row r="18" customFormat="false" ht="15" hidden="false" customHeight="true" outlineLevel="0" collapsed="false">
      <c r="A18" s="47" t="s">
        <v>79</v>
      </c>
      <c r="B18" s="47"/>
      <c r="C18" s="48" t="s">
        <v>80</v>
      </c>
      <c r="D18" s="49" t="s">
        <v>81</v>
      </c>
      <c r="E18" s="49"/>
      <c r="F18" s="47" t="s">
        <v>82</v>
      </c>
      <c r="G18" s="47"/>
      <c r="H18" s="47"/>
    </row>
    <row r="19" customFormat="false" ht="18" hidden="false" customHeight="true" outlineLevel="0" collapsed="false">
      <c r="A19" s="50" t="s">
        <v>83</v>
      </c>
      <c r="B19" s="50"/>
      <c r="C19" s="51" t="str">
        <f aca="false">IF('CFO Appendix'!C20=0,"–",IF(ISNUMBER('CFO Appendix'!B31),'CFO Appendix'!B31&amp;" mo","&gt; 3 yrs"))</f>
        <v>–</v>
      </c>
      <c r="D19" s="52" t="str">
        <f aca="false">IF('CFO Appendix'!C20=0,"–",'CFO Appendix'!B29)</f>
        <v>–</v>
      </c>
      <c r="E19" s="52"/>
      <c r="F19" s="53" t="s">
        <v>84</v>
      </c>
      <c r="G19" s="53"/>
      <c r="H19" s="53"/>
    </row>
    <row r="20" customFormat="false" ht="18" hidden="false" customHeight="true" outlineLevel="0" collapsed="false">
      <c r="A20" s="54" t="s">
        <v>85</v>
      </c>
      <c r="B20" s="54"/>
      <c r="C20" s="55" t="str">
        <f aca="false">IF('CFO Appendix'!C20=0,"–",IF(ISNUMBER('CFO Appendix'!C31),'CFO Appendix'!C31&amp;" mo","&gt; 3 yrs"))</f>
        <v>–</v>
      </c>
      <c r="D20" s="56" t="str">
        <f aca="false">IF('CFO Appendix'!C20=0,"–",'CFO Appendix'!C29)</f>
        <v>–</v>
      </c>
      <c r="E20" s="56"/>
      <c r="F20" s="53" t="s">
        <v>86</v>
      </c>
      <c r="G20" s="53"/>
      <c r="H20" s="53"/>
    </row>
    <row r="21" customFormat="false" ht="18" hidden="false" customHeight="true" outlineLevel="0" collapsed="false">
      <c r="A21" s="50" t="s">
        <v>87</v>
      </c>
      <c r="B21" s="50"/>
      <c r="C21" s="51" t="str">
        <f aca="false">IF('CFO Appendix'!C20=0,"–",IF(ISNUMBER('CFO Appendix'!D31),'CFO Appendix'!D31&amp;" mo","&gt; 3 yrs"))</f>
        <v>–</v>
      </c>
      <c r="D21" s="52" t="str">
        <f aca="false">IF('CFO Appendix'!C20=0,"–",'CFO Appendix'!D29)</f>
        <v>–</v>
      </c>
      <c r="E21" s="52"/>
      <c r="F21" s="53" t="s">
        <v>88</v>
      </c>
      <c r="G21" s="53"/>
      <c r="H21" s="53"/>
    </row>
    <row r="22" customFormat="false" ht="18" hidden="false" customHeight="true" outlineLevel="0" collapsed="false">
      <c r="A22" s="50" t="s">
        <v>89</v>
      </c>
      <c r="B22" s="50"/>
      <c r="C22" s="51" t="str">
        <f aca="false">IF('CFO Appendix'!C20=0,"–",IF(ISNUMBER('CFO Appendix'!E31),'CFO Appendix'!E31&amp;" mo","&gt; 3 yrs"))</f>
        <v>–</v>
      </c>
      <c r="D22" s="52" t="str">
        <f aca="false">IF('CFO Appendix'!C20=0,"–",'CFO Appendix'!E29)</f>
        <v>–</v>
      </c>
      <c r="E22" s="52"/>
      <c r="F22" s="53" t="s">
        <v>90</v>
      </c>
      <c r="G22" s="53"/>
      <c r="H22" s="53"/>
    </row>
    <row r="24" customFormat="false" ht="18" hidden="false" customHeight="true" outlineLevel="0" collapsed="false">
      <c r="A24" s="36" t="s">
        <v>91</v>
      </c>
      <c r="B24" s="4"/>
      <c r="C24" s="4"/>
      <c r="D24" s="4"/>
      <c r="E24" s="4"/>
      <c r="F24" s="4"/>
      <c r="G24" s="4"/>
      <c r="H24" s="4"/>
    </row>
    <row r="25" customFormat="false" ht="21.75" hidden="false" customHeight="true" outlineLevel="0" collapsed="false">
      <c r="A25" s="57" t="str">
        <f aca="false">'Your Case'!G3</f>
        <v>–</v>
      </c>
      <c r="B25" s="57"/>
      <c r="C25" s="57"/>
      <c r="D25" s="57"/>
      <c r="E25" s="58" t="str">
        <f aca="false">IF('Your Case'!X31=0,"",COUNTIF('Your Case'!Z6:Z30,"A")&amp;" A-lines · "&amp;COUNTIF('Your Case'!Z6:Z30,"B")&amp;" B-lines · "&amp;COUNTIF('Your Case'!Z6:Z30,"C")&amp;" C-lines")</f>
        <v/>
      </c>
      <c r="F25" s="58"/>
      <c r="G25" s="58"/>
      <c r="H25" s="58"/>
    </row>
    <row r="26" customFormat="false" ht="24" hidden="false" customHeight="true" outlineLevel="0" collapsed="false">
      <c r="A26" s="59" t="s">
        <v>92</v>
      </c>
      <c r="B26" s="59"/>
      <c r="C26" s="59"/>
      <c r="D26" s="59"/>
      <c r="E26" s="59"/>
      <c r="F26" s="59"/>
      <c r="G26" s="59"/>
      <c r="H26" s="59"/>
    </row>
    <row r="28" customFormat="false" ht="18" hidden="false" customHeight="true" outlineLevel="0" collapsed="false">
      <c r="A28" s="36" t="s">
        <v>93</v>
      </c>
      <c r="B28" s="4"/>
      <c r="C28" s="4"/>
      <c r="D28" s="4"/>
      <c r="E28" s="4"/>
      <c r="F28" s="4"/>
      <c r="G28" s="4"/>
      <c r="H28" s="4"/>
    </row>
    <row r="29" customFormat="false" ht="15" hidden="false" customHeight="true" outlineLevel="0" collapsed="false">
      <c r="A29" s="47" t="s">
        <v>94</v>
      </c>
      <c r="B29" s="47"/>
      <c r="C29" s="47"/>
      <c r="D29" s="47" t="s">
        <v>95</v>
      </c>
      <c r="E29" s="47"/>
      <c r="F29" s="60" t="s">
        <v>96</v>
      </c>
      <c r="G29" s="47" t="s">
        <v>63</v>
      </c>
      <c r="H29" s="47"/>
    </row>
    <row r="30" customFormat="false" ht="30" hidden="false" customHeight="true" outlineLevel="0" collapsed="false">
      <c r="A30" s="61" t="str">
        <f aca="false">IFERROR(INDEX('Your Case'!$C$6:$C$30,MATCH(LARGE('Your Case'!$AF$6:$AF$30,1),'Your Case'!$AF$6:$AF$30,0)),"")</f>
        <v/>
      </c>
      <c r="B30" s="61"/>
      <c r="C30" s="61"/>
      <c r="D30" s="62" t="str">
        <f aca="false">IFERROR(INDEX('Your Case'!$X$6:$X$30,MATCH(LARGE('Your Case'!$AF$6:$AF$30,1),'Your Case'!$AF$6:$AF$30,0)),"")</f>
        <v/>
      </c>
      <c r="E30" s="62"/>
      <c r="F30" s="63" t="str">
        <f aca="false">IFERROR(INDEX('Your Case'!$Z$6:$Z$30,MATCH(LARGE('Your Case'!$AF$6:$AF$30,1),'Your Case'!$AF$6:$AF$30,0)),"")</f>
        <v/>
      </c>
      <c r="G30" s="64" t="str">
        <f aca="false">IFERROR(INDEX('Your Case'!$T$6:$T$30,MATCH(LARGE('Your Case'!$AF$6:$AF$30,1),'Your Case'!$AF$6:$AF$30,0))&amp;"","")</f>
        <v/>
      </c>
      <c r="H30" s="64"/>
    </row>
    <row r="31" customFormat="false" ht="30" hidden="false" customHeight="true" outlineLevel="0" collapsed="false">
      <c r="A31" s="61" t="str">
        <f aca="false">IFERROR(INDEX('Your Case'!$C$6:$C$30,MATCH(LARGE('Your Case'!$AF$6:$AF$30,2),'Your Case'!$AF$6:$AF$30,0)),"")</f>
        <v/>
      </c>
      <c r="B31" s="61"/>
      <c r="C31" s="61"/>
      <c r="D31" s="62" t="str">
        <f aca="false">IFERROR(INDEX('Your Case'!$X$6:$X$30,MATCH(LARGE('Your Case'!$AF$6:$AF$30,2),'Your Case'!$AF$6:$AF$30,0)),"")</f>
        <v/>
      </c>
      <c r="E31" s="62"/>
      <c r="F31" s="63" t="str">
        <f aca="false">IFERROR(INDEX('Your Case'!$Z$6:$Z$30,MATCH(LARGE('Your Case'!$AF$6:$AF$30,2),'Your Case'!$AF$6:$AF$30,0)),"")</f>
        <v/>
      </c>
      <c r="G31" s="64" t="str">
        <f aca="false">IFERROR(INDEX('Your Case'!$T$6:$T$30,MATCH(LARGE('Your Case'!$AF$6:$AF$30,2),'Your Case'!$AF$6:$AF$30,0))&amp;"","")</f>
        <v/>
      </c>
      <c r="H31" s="64"/>
    </row>
    <row r="32" customFormat="false" ht="30" hidden="false" customHeight="true" outlineLevel="0" collapsed="false">
      <c r="A32" s="61" t="str">
        <f aca="false">IFERROR(INDEX('Your Case'!$C$6:$C$30,MATCH(LARGE('Your Case'!$AF$6:$AF$30,3),'Your Case'!$AF$6:$AF$30,0)),"")</f>
        <v/>
      </c>
      <c r="B32" s="61"/>
      <c r="C32" s="61"/>
      <c r="D32" s="62" t="str">
        <f aca="false">IFERROR(INDEX('Your Case'!$X$6:$X$30,MATCH(LARGE('Your Case'!$AF$6:$AF$30,3),'Your Case'!$AF$6:$AF$30,0)),"")</f>
        <v/>
      </c>
      <c r="E32" s="62"/>
      <c r="F32" s="63" t="str">
        <f aca="false">IFERROR(INDEX('Your Case'!$Z$6:$Z$30,MATCH(LARGE('Your Case'!$AF$6:$AF$30,3),'Your Case'!$AF$6:$AF$30,0)),"")</f>
        <v/>
      </c>
      <c r="G32" s="64" t="str">
        <f aca="false">IFERROR(INDEX('Your Case'!$T$6:$T$30,MATCH(LARGE('Your Case'!$AF$6:$AF$30,3),'Your Case'!$AF$6:$AF$30,0))&amp;"","")</f>
        <v/>
      </c>
      <c r="H32" s="64"/>
    </row>
    <row r="33" customFormat="false" ht="15" hidden="false" customHeight="false" outlineLevel="0" collapsed="false">
      <c r="A33" s="65" t="str">
        <f aca="false">'Executive Summary'!A22</f>
        <v/>
      </c>
      <c r="B33" s="65"/>
      <c r="C33" s="65"/>
      <c r="D33" s="65"/>
      <c r="E33" s="65"/>
      <c r="F33" s="65"/>
      <c r="G33" s="65"/>
      <c r="H33" s="65"/>
    </row>
    <row r="35" customFormat="false" ht="18" hidden="false" customHeight="true" outlineLevel="0" collapsed="false">
      <c r="A35" s="36" t="s">
        <v>97</v>
      </c>
      <c r="B35" s="4"/>
      <c r="C35" s="4"/>
      <c r="D35" s="4"/>
      <c r="E35" s="4"/>
      <c r="F35" s="4"/>
      <c r="G35" s="4"/>
      <c r="H35" s="4"/>
    </row>
    <row r="36" customFormat="false" ht="21.75" hidden="false" customHeight="true" outlineLevel="0" collapsed="false">
      <c r="A36" s="54" t="s">
        <v>98</v>
      </c>
      <c r="B36" s="54"/>
      <c r="C36" s="61" t="str">
        <f aca="false">IF('Executive Summary'!B56="","— fill in under Decision and commitment on the Executive Summary",'Executive Summary'!B56)</f>
        <v>— fill in under Decision and commitment on the Executive Summary</v>
      </c>
      <c r="D36" s="61"/>
      <c r="E36" s="61"/>
      <c r="F36" s="61"/>
      <c r="G36" s="61"/>
      <c r="H36" s="61"/>
    </row>
    <row r="37" customFormat="false" ht="21.75" hidden="false" customHeight="true" outlineLevel="0" collapsed="false">
      <c r="A37" s="54" t="s">
        <v>63</v>
      </c>
      <c r="B37" s="54"/>
      <c r="C37" s="61" t="str">
        <f aca="false">IF('Executive Summary'!B58="","— name the person who stands behind the benefits",'Executive Summary'!B58)</f>
        <v>— name the person who stands behind the benefits</v>
      </c>
      <c r="D37" s="61"/>
      <c r="E37" s="61"/>
      <c r="F37" s="61"/>
      <c r="G37" s="61"/>
      <c r="H37" s="61"/>
    </row>
    <row r="38" customFormat="false" ht="21.75" hidden="false" customHeight="true" outlineLevel="0" collapsed="false">
      <c r="A38" s="54" t="s">
        <v>99</v>
      </c>
      <c r="B38" s="54"/>
      <c r="C38" s="61" t="str">
        <f aca="false">IF('CFO Appendix'!C20=0,"–",FIXED('CFO Appendix'!B47,0)&amp;" € of Base Case benefit lost for every month the decision waits")</f>
        <v>–</v>
      </c>
      <c r="D38" s="61"/>
      <c r="E38" s="61"/>
      <c r="F38" s="61"/>
      <c r="G38" s="61"/>
      <c r="H38" s="61"/>
    </row>
    <row r="40" customFormat="false" ht="18" hidden="false" customHeight="true" outlineLevel="0" collapsed="false">
      <c r="A40" s="36" t="s">
        <v>100</v>
      </c>
      <c r="B40" s="4"/>
      <c r="C40" s="4"/>
      <c r="D40" s="4"/>
      <c r="E40" s="4"/>
      <c r="F40" s="4"/>
      <c r="G40" s="4"/>
      <c r="H40" s="4"/>
    </row>
    <row r="41" customFormat="false" ht="24" hidden="false" customHeight="true" outlineLevel="0" collapsed="false">
      <c r="A41" s="66" t="str">
        <f aca="false">IF('CFO Appendix'!C20=0,"–",'Executive Summary'!A46&amp;"  ·  "&amp;COUNTIF('Executive Summary'!B39:B45,"OK")&amp;" of 7 checks passed")</f>
        <v>–</v>
      </c>
      <c r="B41" s="66"/>
      <c r="C41" s="66"/>
      <c r="D41" s="66"/>
      <c r="E41" s="66"/>
      <c r="F41" s="66"/>
      <c r="G41" s="66"/>
      <c r="H41" s="66"/>
    </row>
    <row r="43" customFormat="false" ht="24" hidden="false" customHeight="true" outlineLevel="0" collapsed="false">
      <c r="A43" s="67" t="s">
        <v>101</v>
      </c>
      <c r="B43" s="67"/>
      <c r="C43" s="67"/>
      <c r="D43" s="67"/>
      <c r="E43" s="67"/>
      <c r="F43" s="67"/>
      <c r="G43" s="67"/>
      <c r="H43" s="67"/>
    </row>
  </sheetData>
  <sheetProtection sheet="true" formatColumns="false" formatRows="false"/>
  <mergeCells count="57">
    <mergeCell ref="C1:H1"/>
    <mergeCell ref="A2:H2"/>
    <mergeCell ref="A3:G3"/>
    <mergeCell ref="A6:H7"/>
    <mergeCell ref="A10:B10"/>
    <mergeCell ref="C10:D10"/>
    <mergeCell ref="E10:F10"/>
    <mergeCell ref="G10:H10"/>
    <mergeCell ref="A11:B11"/>
    <mergeCell ref="C11:D11"/>
    <mergeCell ref="E11:F11"/>
    <mergeCell ref="G11:H11"/>
    <mergeCell ref="A12:B12"/>
    <mergeCell ref="C12:D12"/>
    <mergeCell ref="E12:F12"/>
    <mergeCell ref="G12:H12"/>
    <mergeCell ref="A15:B15"/>
    <mergeCell ref="C15:H15"/>
    <mergeCell ref="A18:B18"/>
    <mergeCell ref="D18:E18"/>
    <mergeCell ref="F18:H18"/>
    <mergeCell ref="A19:B19"/>
    <mergeCell ref="D19:E19"/>
    <mergeCell ref="F19:H19"/>
    <mergeCell ref="A20:B20"/>
    <mergeCell ref="D20:E20"/>
    <mergeCell ref="F20:H20"/>
    <mergeCell ref="A21:B21"/>
    <mergeCell ref="D21:E21"/>
    <mergeCell ref="F21:H21"/>
    <mergeCell ref="A22:B22"/>
    <mergeCell ref="D22:E22"/>
    <mergeCell ref="F22:H22"/>
    <mergeCell ref="A25:D25"/>
    <mergeCell ref="E25:H25"/>
    <mergeCell ref="A26:H26"/>
    <mergeCell ref="A29:C29"/>
    <mergeCell ref="D29:E29"/>
    <mergeCell ref="G29:H29"/>
    <mergeCell ref="A30:C30"/>
    <mergeCell ref="D30:E30"/>
    <mergeCell ref="G30:H30"/>
    <mergeCell ref="A31:C31"/>
    <mergeCell ref="D31:E31"/>
    <mergeCell ref="G31:H31"/>
    <mergeCell ref="A32:C32"/>
    <mergeCell ref="D32:E32"/>
    <mergeCell ref="G32:H32"/>
    <mergeCell ref="A33:H33"/>
    <mergeCell ref="A36:B36"/>
    <mergeCell ref="C36:H36"/>
    <mergeCell ref="A37:B37"/>
    <mergeCell ref="C37:H37"/>
    <mergeCell ref="A38:B38"/>
    <mergeCell ref="C38:H38"/>
    <mergeCell ref="A41:H41"/>
    <mergeCell ref="A43:H43"/>
  </mergeCells>
  <conditionalFormatting sqref="A15:B15">
    <cfRule type="expression" priority="2" aboveAverage="0" equalAverage="0" bottom="0" percent="0" rank="0" text="" dxfId="3">
      <formula>$A$15="STRONG"</formula>
    </cfRule>
    <cfRule type="expression" priority="3" aboveAverage="0" equalAverage="0" bottom="0" percent="0" rank="0" text="" dxfId="1">
      <formula>$A$15="DEPENDS ON ESTIMATES"</formula>
    </cfRule>
    <cfRule type="expression" priority="4" aboveAverage="0" equalAverage="0" bottom="0" percent="0" rank="0" text="" dxfId="4">
      <formula>$A$15="WEAK"</formula>
    </cfRule>
  </conditionalFormatting>
  <conditionalFormatting sqref="F30:F32">
    <cfRule type="expression" priority="5" aboveAverage="0" equalAverage="0" bottom="0" percent="0" rank="0" text="" dxfId="3">
      <formula>F30="A"</formula>
    </cfRule>
    <cfRule type="expression" priority="6" aboveAverage="0" equalAverage="0" bottom="0" percent="0" rank="0" text="" dxfId="1">
      <formula>F30="B"</formula>
    </cfRule>
    <cfRule type="expression" priority="7" aboveAverage="0" equalAverage="0" bottom="0" percent="0" rank="0" text="" dxfId="4">
      <formula>F30="C"</formula>
    </cfRule>
  </conditionalFormatting>
  <conditionalFormatting sqref="A41:H41">
    <cfRule type="expression" priority="8" aboveAverage="0" equalAverage="0" bottom="0" percent="0" rank="0" text="" dxfId="5">
      <formula>LEFT($A$41,9)="READY FOR"</formula>
    </cfRule>
    <cfRule type="expression" priority="9" aboveAverage="0" equalAverage="0" bottom="0" percent="0" rank="0" text="" dxfId="6">
      <formula>LEFT($A$41,9)="NOT READY"</formula>
    </cfRule>
  </conditionalFormatting>
  <printOptions headings="false" gridLines="false" gridLinesSet="true" horizontalCentered="true" verticalCentered="false"/>
  <pageMargins left="0.5" right="0.5"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BenefitPartner · The Business Case Method&amp;R&amp;8 benefitpartner.dk · &amp;P /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2"/>
    <col collapsed="false" customWidth="true" hidden="false" outlineLevel="0" max="3" min="3" style="0" width="20"/>
    <col collapsed="false" customWidth="true" hidden="false" outlineLevel="0" max="4" min="4" style="0" width="18"/>
    <col collapsed="false" customWidth="true" hidden="false" outlineLevel="0" max="6" min="5" style="0" width="22"/>
  </cols>
  <sheetData>
    <row r="1" customFormat="false" ht="54" hidden="false" customHeight="true" outlineLevel="0" collapsed="false">
      <c r="A1" s="1" t="s">
        <v>102</v>
      </c>
      <c r="F1" s="35" t="str">
        <f aca="false">HYPERLINK("#'Start Here'!A4","← Case Map")</f>
        <v>← Case Map</v>
      </c>
    </row>
    <row r="2" customFormat="false" ht="15" hidden="false" customHeight="false" outlineLevel="0" collapsed="false">
      <c r="A2" s="2" t="s">
        <v>103</v>
      </c>
    </row>
    <row r="4" customFormat="false" ht="15" hidden="false" customHeight="false" outlineLevel="0" collapsed="false">
      <c r="A4" s="3" t="s">
        <v>104</v>
      </c>
      <c r="B4" s="4"/>
      <c r="C4" s="4"/>
      <c r="D4" s="4"/>
      <c r="E4" s="4"/>
      <c r="F4" s="4"/>
    </row>
    <row r="5" customFormat="false" ht="15" hidden="false" customHeight="false" outlineLevel="0" collapsed="false">
      <c r="A5" s="68" t="s">
        <v>105</v>
      </c>
      <c r="B5" s="69"/>
      <c r="C5" s="69"/>
      <c r="D5" s="69"/>
    </row>
    <row r="6" customFormat="false" ht="15" hidden="false" customHeight="false" outlineLevel="0" collapsed="false">
      <c r="A6" s="68" t="s">
        <v>106</v>
      </c>
      <c r="B6" s="69"/>
      <c r="C6" s="69"/>
      <c r="D6" s="69"/>
    </row>
    <row r="7" customFormat="false" ht="15" hidden="false" customHeight="false" outlineLevel="0" collapsed="false">
      <c r="A7" s="68" t="s">
        <v>107</v>
      </c>
      <c r="B7" s="69"/>
      <c r="C7" s="69"/>
      <c r="D7" s="69"/>
    </row>
    <row r="8" customFormat="false" ht="15" hidden="false" customHeight="false" outlineLevel="0" collapsed="false">
      <c r="A8" s="68" t="s">
        <v>108</v>
      </c>
      <c r="B8" s="69"/>
      <c r="C8" s="69"/>
      <c r="D8" s="69"/>
    </row>
    <row r="10" customFormat="false" ht="15" hidden="false" customHeight="false" outlineLevel="0" collapsed="false">
      <c r="A10" s="3" t="s">
        <v>109</v>
      </c>
      <c r="B10" s="4"/>
      <c r="C10" s="4"/>
      <c r="D10" s="4"/>
      <c r="E10" s="4"/>
      <c r="F10" s="4"/>
    </row>
    <row r="11" customFormat="false" ht="25.5" hidden="false" customHeight="true" outlineLevel="0" collapsed="false">
      <c r="A11" s="70" t="str">
        <f aca="false">IF('CFO Appendix'!C20=0,"Fill in Your Case and Investment — the answer appears here.",IF(ISNUMBER('CFO Appendix'!C31),"With your figures, the investment pays for itself in "&amp;'CFO Appendix'!C31&amp;" months","With your figures, the investment does not pay for itself within 3 years")&amp;IF(ISNUMBER('CFO Appendix'!B31),". Even if only the measured, bottom-line benefits hold, it pays for itself in "&amp;'CFO Appendix'!B31&amp;" months.",". If only the measured, bottom-line benefits hold, it does not pay for itself within 3 years."))</f>
        <v>Fill in Your Case and Investment — the answer appears here.</v>
      </c>
      <c r="B11" s="70"/>
      <c r="C11" s="70"/>
      <c r="D11" s="70"/>
      <c r="E11" s="70"/>
      <c r="F11" s="70"/>
    </row>
    <row r="12" customFormat="false" ht="25.5" hidden="false" customHeight="true" outlineLevel="0" collapsed="false">
      <c r="A12" s="70"/>
      <c r="B12" s="70"/>
      <c r="C12" s="70"/>
      <c r="D12" s="70"/>
      <c r="E12" s="70"/>
      <c r="F12" s="70"/>
    </row>
    <row r="14" customFormat="false" ht="15" hidden="false" customHeight="false" outlineLevel="0" collapsed="false">
      <c r="A14" s="3" t="s">
        <v>110</v>
      </c>
      <c r="B14" s="4"/>
      <c r="C14" s="4"/>
      <c r="D14" s="4"/>
      <c r="E14" s="4"/>
      <c r="F14" s="4"/>
    </row>
    <row r="15" customFormat="false" ht="22.35" hidden="false" customHeight="false" outlineLevel="0" collapsed="false">
      <c r="A15" s="71" t="s">
        <v>111</v>
      </c>
      <c r="B15" s="71" t="s">
        <v>112</v>
      </c>
      <c r="C15" s="71" t="s">
        <v>113</v>
      </c>
      <c r="D15" s="71" t="s">
        <v>81</v>
      </c>
    </row>
    <row r="16" customFormat="false" ht="19.7" hidden="false" customHeight="false" outlineLevel="0" collapsed="false">
      <c r="A16" s="72" t="n">
        <f aca="false">Investment!E37</f>
        <v>0</v>
      </c>
      <c r="B16" s="72" t="n">
        <f aca="false">'CFO Appendix'!C20</f>
        <v>0</v>
      </c>
      <c r="C16" s="73" t="str">
        <f aca="false">'CFO Appendix'!C31</f>
        <v>–</v>
      </c>
      <c r="D16" s="72" t="n">
        <f aca="false">'CFO Appendix'!C29</f>
        <v>0</v>
      </c>
    </row>
    <row r="18" customFormat="false" ht="15" hidden="false" customHeight="false" outlineLevel="0" collapsed="false">
      <c r="A18" s="3" t="s">
        <v>114</v>
      </c>
      <c r="B18" s="4"/>
      <c r="C18" s="4"/>
      <c r="D18" s="4"/>
      <c r="E18" s="4"/>
      <c r="F18" s="4"/>
    </row>
    <row r="19" customFormat="false" ht="33.75" hidden="false" customHeight="true" outlineLevel="0" collapsed="false">
      <c r="A19" s="74" t="str">
        <f aca="false">IF('CFO Appendix'!C20=0,"–",IF(AND(ISNUMBER('CFO Appendix'!B31),'CFO Appendix'!B31&lt;='CFO Appendix'!B13),"STRONG",IF(AND(ISNUMBER('CFO Appendix'!C31),'CFO Appendix'!C31&lt;='CFO Appendix'!B13),"DEPENDS ON ESTIMATES","WEAK")))</f>
        <v>–</v>
      </c>
      <c r="B19" s="75" t="str">
        <f aca="false">IF(A19="STRONG","Even the conservative floor pays back within the "&amp;'CFO Appendix'!B13&amp;"-month target.",IF(A19="DEPENDS ON ESTIMATES","The Base Case meets the "&amp;'CFO Appendix'!B13&amp;"-month target, but the conservative floor does not. Firm up the estimates before deciding.",IF(A19="WEAK","Even the Base Case misses the "&amp;'CFO Appendix'!B13&amp;"-month target. Revisit scope, benefits or investment.","")))</f>
        <v/>
      </c>
      <c r="C19" s="75"/>
      <c r="D19" s="75"/>
      <c r="E19" s="75"/>
      <c r="F19" s="75"/>
    </row>
    <row r="21" customFormat="false" ht="15" hidden="false" customHeight="false" outlineLevel="0" collapsed="false">
      <c r="A21" s="3" t="s">
        <v>115</v>
      </c>
      <c r="B21" s="4"/>
      <c r="C21" s="4"/>
      <c r="D21" s="4"/>
      <c r="E21" s="4"/>
      <c r="F21" s="4"/>
    </row>
    <row r="22" customFormat="false" ht="15" hidden="false" customHeight="false" outlineLevel="0" collapsed="false">
      <c r="A22" s="76" t="str">
        <f aca="false">IF('Your Case'!X31=0,"","The top 3 lines carry "&amp;FIXED(IFERROR((IFERROR(LARGE('Your Case'!$AF$6:$AF$30,1),0)+IFERROR(LARGE('Your Case'!$AF$6:$AF$30,2),0)+IFERROR(LARGE('Your Case'!$AF$6:$AF$30,3),0))/'Your Case'!X31,0)*100,0)&amp;"% of the risk-adjusted value — make sure they are the best documented.")</f>
        <v/>
      </c>
      <c r="B22" s="76"/>
      <c r="C22" s="76"/>
      <c r="D22" s="76"/>
      <c r="E22" s="76"/>
      <c r="F22" s="76"/>
    </row>
    <row r="23" customFormat="false" ht="22.35" hidden="false" customHeight="true" outlineLevel="0" collapsed="false">
      <c r="A23" s="5" t="s">
        <v>94</v>
      </c>
      <c r="B23" s="5" t="s">
        <v>116</v>
      </c>
      <c r="C23" s="5" t="s">
        <v>96</v>
      </c>
      <c r="D23" s="5" t="s">
        <v>117</v>
      </c>
      <c r="E23" s="5"/>
      <c r="F23" s="5"/>
    </row>
    <row r="24" customFormat="false" ht="39.75" hidden="false" customHeight="true" outlineLevel="0" collapsed="false">
      <c r="A24" s="77" t="str">
        <f aca="false">IFERROR(INDEX('Your Case'!$C$6:$C$30,MATCH(LARGE('Your Case'!$AF$6:$AF$30,1),'Your Case'!$AF$6:$AF$30,0)),"")</f>
        <v/>
      </c>
      <c r="B24" s="78" t="str">
        <f aca="false">IFERROR(INDEX('Your Case'!$X$6:$X$30,MATCH(LARGE('Your Case'!$AF$6:$AF$30,1),'Your Case'!$AF$6:$AF$30,0)),"")</f>
        <v/>
      </c>
      <c r="C24" s="79" t="str">
        <f aca="false">IFERROR(INDEX('Your Case'!$Z$6:$Z$30,MATCH(LARGE('Your Case'!$AF$6:$AF$30,1),'Your Case'!$AF$6:$AF$30,0)),"")</f>
        <v/>
      </c>
      <c r="D24" s="80" t="str">
        <f aca="false">IFERROR(INDEX('Your Case'!$AA$6:$AA$30,MATCH(LARGE('Your Case'!$AF$6:$AF$30,1),'Your Case'!$AF$6:$AF$30,0)),"")</f>
        <v/>
      </c>
      <c r="E24" s="80"/>
      <c r="F24" s="80"/>
    </row>
    <row r="25" customFormat="false" ht="39.75" hidden="false" customHeight="true" outlineLevel="0" collapsed="false">
      <c r="A25" s="77" t="str">
        <f aca="false">IFERROR(INDEX('Your Case'!$C$6:$C$30,MATCH(LARGE('Your Case'!$AF$6:$AF$30,2),'Your Case'!$AF$6:$AF$30,0)),"")</f>
        <v/>
      </c>
      <c r="B25" s="78" t="str">
        <f aca="false">IFERROR(INDEX('Your Case'!$X$6:$X$30,MATCH(LARGE('Your Case'!$AF$6:$AF$30,2),'Your Case'!$AF$6:$AF$30,0)),"")</f>
        <v/>
      </c>
      <c r="C25" s="79" t="str">
        <f aca="false">IFERROR(INDEX('Your Case'!$Z$6:$Z$30,MATCH(LARGE('Your Case'!$AF$6:$AF$30,2),'Your Case'!$AF$6:$AF$30,0)),"")</f>
        <v/>
      </c>
      <c r="D25" s="80" t="str">
        <f aca="false">IFERROR(INDEX('Your Case'!$AA$6:$AA$30,MATCH(LARGE('Your Case'!$AF$6:$AF$30,2),'Your Case'!$AF$6:$AF$30,0)),"")</f>
        <v/>
      </c>
      <c r="E25" s="80"/>
      <c r="F25" s="80"/>
    </row>
    <row r="26" customFormat="false" ht="39.75" hidden="false" customHeight="true" outlineLevel="0" collapsed="false">
      <c r="A26" s="77" t="str">
        <f aca="false">IFERROR(INDEX('Your Case'!$C$6:$C$30,MATCH(LARGE('Your Case'!$AF$6:$AF$30,3),'Your Case'!$AF$6:$AF$30,0)),"")</f>
        <v/>
      </c>
      <c r="B26" s="78" t="str">
        <f aca="false">IFERROR(INDEX('Your Case'!$X$6:$X$30,MATCH(LARGE('Your Case'!$AF$6:$AF$30,3),'Your Case'!$AF$6:$AF$30,0)),"")</f>
        <v/>
      </c>
      <c r="C26" s="79" t="str">
        <f aca="false">IFERROR(INDEX('Your Case'!$Z$6:$Z$30,MATCH(LARGE('Your Case'!$AF$6:$AF$30,3),'Your Case'!$AF$6:$AF$30,0)),"")</f>
        <v/>
      </c>
      <c r="D26" s="80" t="str">
        <f aca="false">IFERROR(INDEX('Your Case'!$AA$6:$AA$30,MATCH(LARGE('Your Case'!$AF$6:$AF$30,3),'Your Case'!$AF$6:$AF$30,0)),"")</f>
        <v/>
      </c>
      <c r="E26" s="80"/>
      <c r="F26" s="80"/>
    </row>
    <row r="27" customFormat="false" ht="39.75" hidden="false" customHeight="true" outlineLevel="0" collapsed="false">
      <c r="A27" s="77" t="str">
        <f aca="false">IFERROR(INDEX('Your Case'!$C$6:$C$30,MATCH(LARGE('Your Case'!$AF$6:$AF$30,4),'Your Case'!$AF$6:$AF$30,0)),"")</f>
        <v/>
      </c>
      <c r="B27" s="78" t="str">
        <f aca="false">IFERROR(INDEX('Your Case'!$X$6:$X$30,MATCH(LARGE('Your Case'!$AF$6:$AF$30,4),'Your Case'!$AF$6:$AF$30,0)),"")</f>
        <v/>
      </c>
      <c r="C27" s="79" t="str">
        <f aca="false">IFERROR(INDEX('Your Case'!$Z$6:$Z$30,MATCH(LARGE('Your Case'!$AF$6:$AF$30,4),'Your Case'!$AF$6:$AF$30,0)),"")</f>
        <v/>
      </c>
      <c r="D27" s="80" t="str">
        <f aca="false">IFERROR(INDEX('Your Case'!$AA$6:$AA$30,MATCH(LARGE('Your Case'!$AF$6:$AF$30,4),'Your Case'!$AF$6:$AF$30,0)),"")</f>
        <v/>
      </c>
      <c r="E27" s="80"/>
      <c r="F27" s="80"/>
    </row>
    <row r="28" customFormat="false" ht="39.75" hidden="false" customHeight="true" outlineLevel="0" collapsed="false">
      <c r="A28" s="77" t="str">
        <f aca="false">IFERROR(INDEX('Your Case'!$C$6:$C$30,MATCH(LARGE('Your Case'!$AF$6:$AF$30,5),'Your Case'!$AF$6:$AF$30,0)),"")</f>
        <v/>
      </c>
      <c r="B28" s="78" t="str">
        <f aca="false">IFERROR(INDEX('Your Case'!$X$6:$X$30,MATCH(LARGE('Your Case'!$AF$6:$AF$30,5),'Your Case'!$AF$6:$AF$30,0)),"")</f>
        <v/>
      </c>
      <c r="C28" s="79" t="str">
        <f aca="false">IFERROR(INDEX('Your Case'!$Z$6:$Z$30,MATCH(LARGE('Your Case'!$AF$6:$AF$30,5),'Your Case'!$AF$6:$AF$30,0)),"")</f>
        <v/>
      </c>
      <c r="D28" s="80" t="str">
        <f aca="false">IFERROR(INDEX('Your Case'!$AA$6:$AA$30,MATCH(LARGE('Your Case'!$AF$6:$AF$30,5),'Your Case'!$AF$6:$AF$30,0)),"")</f>
        <v/>
      </c>
      <c r="E28" s="80"/>
      <c r="F28" s="80"/>
    </row>
    <row r="30" customFormat="false" ht="15" hidden="false" customHeight="false" outlineLevel="0" collapsed="false">
      <c r="A30" s="3" t="s">
        <v>118</v>
      </c>
      <c r="B30" s="4"/>
      <c r="C30" s="4"/>
      <c r="D30" s="4"/>
      <c r="E30" s="4"/>
      <c r="F30" s="4"/>
    </row>
    <row r="31" customFormat="false" ht="22.35" hidden="false" customHeight="false" outlineLevel="0" collapsed="false">
      <c r="A31" s="5" t="s">
        <v>79</v>
      </c>
      <c r="B31" s="5" t="s">
        <v>112</v>
      </c>
      <c r="C31" s="5" t="s">
        <v>81</v>
      </c>
      <c r="D31" s="5" t="s">
        <v>113</v>
      </c>
      <c r="E31" s="5" t="s">
        <v>82</v>
      </c>
    </row>
    <row r="32" customFormat="false" ht="15" hidden="false" customHeight="true" outlineLevel="0" collapsed="false">
      <c r="A32" s="81" t="s">
        <v>83</v>
      </c>
      <c r="B32" s="78" t="n">
        <f aca="false">'CFO Appendix'!B20</f>
        <v>0</v>
      </c>
      <c r="C32" s="78" t="n">
        <f aca="false">'CFO Appendix'!B29</f>
        <v>0</v>
      </c>
      <c r="D32" s="82" t="str">
        <f aca="false">'CFO Appendix'!B31</f>
        <v>–</v>
      </c>
      <c r="E32" s="83" t="s">
        <v>84</v>
      </c>
      <c r="F32" s="83"/>
    </row>
    <row r="33" customFormat="false" ht="15" hidden="false" customHeight="true" outlineLevel="0" collapsed="false">
      <c r="A33" s="81" t="s">
        <v>85</v>
      </c>
      <c r="B33" s="78" t="n">
        <f aca="false">'CFO Appendix'!C20</f>
        <v>0</v>
      </c>
      <c r="C33" s="78" t="n">
        <f aca="false">'CFO Appendix'!C29</f>
        <v>0</v>
      </c>
      <c r="D33" s="82" t="str">
        <f aca="false">'CFO Appendix'!C31</f>
        <v>–</v>
      </c>
      <c r="E33" s="83" t="s">
        <v>119</v>
      </c>
      <c r="F33" s="83"/>
    </row>
    <row r="34" customFormat="false" ht="15" hidden="false" customHeight="true" outlineLevel="0" collapsed="false">
      <c r="A34" s="81" t="s">
        <v>87</v>
      </c>
      <c r="B34" s="78" t="n">
        <f aca="false">'CFO Appendix'!D20</f>
        <v>0</v>
      </c>
      <c r="C34" s="78" t="n">
        <f aca="false">'CFO Appendix'!D29</f>
        <v>0</v>
      </c>
      <c r="D34" s="82" t="str">
        <f aca="false">'CFO Appendix'!D31</f>
        <v>–</v>
      </c>
      <c r="E34" s="83" t="s">
        <v>88</v>
      </c>
      <c r="F34" s="83"/>
    </row>
    <row r="35" customFormat="false" ht="15" hidden="false" customHeight="true" outlineLevel="0" collapsed="false">
      <c r="A35" s="81" t="s">
        <v>89</v>
      </c>
      <c r="B35" s="78" t="n">
        <f aca="false">'CFO Appendix'!E20</f>
        <v>0</v>
      </c>
      <c r="C35" s="78" t="n">
        <f aca="false">'CFO Appendix'!E29</f>
        <v>0</v>
      </c>
      <c r="D35" s="82" t="str">
        <f aca="false">'CFO Appendix'!E31</f>
        <v>–</v>
      </c>
      <c r="E35" s="83" t="s">
        <v>120</v>
      </c>
      <c r="F35" s="83"/>
    </row>
    <row r="37" customFormat="false" ht="15" hidden="false" customHeight="false" outlineLevel="0" collapsed="false">
      <c r="A37" s="3" t="s">
        <v>121</v>
      </c>
      <c r="B37" s="4"/>
      <c r="C37" s="4"/>
      <c r="D37" s="4"/>
      <c r="E37" s="4"/>
      <c r="F37" s="4"/>
    </row>
    <row r="38" customFormat="false" ht="15" hidden="false" customHeight="false" outlineLevel="0" collapsed="false">
      <c r="A38" s="5" t="s">
        <v>122</v>
      </c>
      <c r="B38" s="5" t="s">
        <v>123</v>
      </c>
      <c r="C38" s="5" t="s">
        <v>124</v>
      </c>
    </row>
    <row r="39" customFormat="false" ht="15" hidden="false" customHeight="true" outlineLevel="0" collapsed="false">
      <c r="A39" s="68" t="s">
        <v>125</v>
      </c>
      <c r="B39" s="84" t="str">
        <f aca="false">IF('CFO Appendix'!B35&gt;=1,"OK","Fix")</f>
        <v>Fix</v>
      </c>
      <c r="C39" s="83" t="s">
        <v>126</v>
      </c>
      <c r="D39" s="83"/>
      <c r="E39" s="83"/>
      <c r="F39" s="83"/>
    </row>
    <row r="40" customFormat="false" ht="15" hidden="false" customHeight="true" outlineLevel="0" collapsed="false">
      <c r="A40" s="68" t="s">
        <v>127</v>
      </c>
      <c r="B40" s="84" t="str">
        <f aca="false">IF(AND('CFO Appendix'!B35&gt;=1,'CFO Appendix'!B36='CFO Appendix'!B35),"OK","Fix")</f>
        <v>Fix</v>
      </c>
      <c r="C40" s="83" t="s">
        <v>128</v>
      </c>
      <c r="D40" s="83"/>
      <c r="E40" s="83"/>
      <c r="F40" s="83"/>
    </row>
    <row r="41" customFormat="false" ht="15" hidden="false" customHeight="true" outlineLevel="0" collapsed="false">
      <c r="A41" s="68" t="s">
        <v>129</v>
      </c>
      <c r="B41" s="84" t="str">
        <f aca="false">IF(AND('CFO Appendix'!B35&gt;=1,'CFO Appendix'!B38=0),"OK","Fix")</f>
        <v>Fix</v>
      </c>
      <c r="C41" s="83" t="s">
        <v>130</v>
      </c>
      <c r="D41" s="83"/>
      <c r="E41" s="83"/>
      <c r="F41" s="83"/>
    </row>
    <row r="42" customFormat="false" ht="15" hidden="false" customHeight="true" outlineLevel="0" collapsed="false">
      <c r="A42" s="68" t="s">
        <v>131</v>
      </c>
      <c r="B42" s="84" t="str">
        <f aca="false">IF('CFO Appendix'!B37=0,"OK","Fix")</f>
        <v>OK</v>
      </c>
      <c r="C42" s="83" t="s">
        <v>132</v>
      </c>
      <c r="D42" s="83"/>
      <c r="E42" s="83"/>
      <c r="F42" s="83"/>
    </row>
    <row r="43" customFormat="false" ht="15" hidden="false" customHeight="true" outlineLevel="0" collapsed="false">
      <c r="A43" s="68" t="s">
        <v>133</v>
      </c>
      <c r="B43" s="84" t="str">
        <f aca="false">IF(AND('CFO Appendix'!B35&gt;=1,'CFO Appendix'!B39=0),"OK","Fix")</f>
        <v>Fix</v>
      </c>
      <c r="C43" s="83" t="s">
        <v>134</v>
      </c>
      <c r="D43" s="83"/>
      <c r="E43" s="83"/>
      <c r="F43" s="83"/>
    </row>
    <row r="44" customFormat="false" ht="15" hidden="false" customHeight="true" outlineLevel="0" collapsed="false">
      <c r="A44" s="68" t="s">
        <v>135</v>
      </c>
      <c r="B44" s="84" t="str">
        <f aca="false">IF(Investment!E18&gt;0,"OK","Fix")</f>
        <v>Fix</v>
      </c>
      <c r="C44" s="83" t="s">
        <v>136</v>
      </c>
      <c r="D44" s="83"/>
      <c r="E44" s="83"/>
      <c r="F44" s="83"/>
    </row>
    <row r="45" customFormat="false" ht="15" hidden="false" customHeight="true" outlineLevel="0" collapsed="false">
      <c r="A45" s="68" t="s">
        <v>137</v>
      </c>
      <c r="B45" s="84" t="str">
        <f aca="false">IF(COUNT('CFO Appendix'!B6:B14)=9,"OK","Fix")</f>
        <v>OK</v>
      </c>
      <c r="C45" s="83" t="s">
        <v>138</v>
      </c>
      <c r="D45" s="83"/>
      <c r="E45" s="83"/>
      <c r="F45" s="83"/>
    </row>
    <row r="46" customFormat="false" ht="15" hidden="false" customHeight="false" outlineLevel="0" collapsed="false">
      <c r="A46" s="85" t="str">
        <f aca="false">IF(COUNTIF(B39:B45,"OK")=7,"READY FOR THE CFO","NOT READY YET — fix the items marked Fix")</f>
        <v>NOT READY YET — fix the items marked Fix</v>
      </c>
      <c r="B46" s="85"/>
      <c r="C46" s="85"/>
      <c r="D46" s="85"/>
      <c r="E46" s="85"/>
      <c r="F46" s="85"/>
    </row>
    <row r="48" customFormat="false" ht="15" hidden="false" customHeight="false" outlineLevel="0" collapsed="false">
      <c r="A48" s="3" t="s">
        <v>139</v>
      </c>
      <c r="B48" s="4"/>
      <c r="C48" s="4"/>
      <c r="D48" s="4"/>
      <c r="E48" s="4"/>
      <c r="F48" s="4"/>
    </row>
    <row r="49" customFormat="false" ht="15" hidden="false" customHeight="false" outlineLevel="0" collapsed="false">
      <c r="A49" s="5" t="s">
        <v>140</v>
      </c>
      <c r="B49" s="5"/>
      <c r="C49" s="5" t="s">
        <v>141</v>
      </c>
    </row>
    <row r="50" customFormat="false" ht="31.5" hidden="false" customHeight="true" outlineLevel="0" collapsed="false">
      <c r="A50" s="86" t="s">
        <v>142</v>
      </c>
      <c r="B50" s="86"/>
      <c r="C50" s="87" t="s">
        <v>143</v>
      </c>
      <c r="D50" s="87"/>
      <c r="E50" s="87"/>
      <c r="F50" s="87"/>
    </row>
    <row r="51" customFormat="false" ht="31.5" hidden="false" customHeight="true" outlineLevel="0" collapsed="false">
      <c r="A51" s="86" t="s">
        <v>144</v>
      </c>
      <c r="B51" s="86"/>
      <c r="C51" s="87" t="s">
        <v>145</v>
      </c>
      <c r="D51" s="87"/>
      <c r="E51" s="87"/>
      <c r="F51" s="87"/>
    </row>
    <row r="52" customFormat="false" ht="31.5" hidden="false" customHeight="true" outlineLevel="0" collapsed="false">
      <c r="A52" s="86" t="s">
        <v>146</v>
      </c>
      <c r="B52" s="86"/>
      <c r="C52" s="87" t="s">
        <v>147</v>
      </c>
      <c r="D52" s="87"/>
      <c r="E52" s="87"/>
      <c r="F52" s="87"/>
    </row>
    <row r="53" customFormat="false" ht="31.5" hidden="false" customHeight="true" outlineLevel="0" collapsed="false">
      <c r="A53" s="86" t="s">
        <v>148</v>
      </c>
      <c r="B53" s="86"/>
      <c r="C53" s="87" t="s">
        <v>149</v>
      </c>
      <c r="D53" s="87"/>
      <c r="E53" s="87"/>
      <c r="F53" s="87"/>
    </row>
    <row r="55" customFormat="false" ht="15" hidden="false" customHeight="false" outlineLevel="0" collapsed="false">
      <c r="A55" s="3" t="s">
        <v>150</v>
      </c>
      <c r="B55" s="4"/>
      <c r="C55" s="4"/>
      <c r="D55" s="4"/>
      <c r="E55" s="4"/>
      <c r="F55" s="4"/>
    </row>
    <row r="56" customFormat="false" ht="24" hidden="false" customHeight="true" outlineLevel="0" collapsed="false">
      <c r="A56" s="88" t="s">
        <v>151</v>
      </c>
      <c r="B56" s="69"/>
      <c r="C56" s="69"/>
      <c r="D56" s="69"/>
      <c r="E56" s="69"/>
      <c r="F56" s="69"/>
    </row>
    <row r="57" customFormat="false" ht="24" hidden="false" customHeight="true" outlineLevel="0" collapsed="false">
      <c r="A57" s="88" t="s">
        <v>152</v>
      </c>
      <c r="B57" s="69"/>
      <c r="C57" s="69"/>
      <c r="D57" s="69"/>
      <c r="E57" s="69"/>
      <c r="F57" s="69"/>
    </row>
    <row r="58" customFormat="false" ht="24" hidden="false" customHeight="true" outlineLevel="0" collapsed="false">
      <c r="A58" s="88" t="s">
        <v>153</v>
      </c>
      <c r="B58" s="69"/>
      <c r="C58" s="69"/>
      <c r="D58" s="69"/>
      <c r="E58" s="69"/>
      <c r="F58" s="69"/>
    </row>
    <row r="59" customFormat="false" ht="24" hidden="false" customHeight="true" outlineLevel="0" collapsed="false">
      <c r="A59" s="88" t="s">
        <v>154</v>
      </c>
      <c r="B59" s="69"/>
      <c r="C59" s="69"/>
      <c r="D59" s="69"/>
      <c r="E59" s="69"/>
      <c r="F59" s="69"/>
    </row>
    <row r="60" customFormat="false" ht="24" hidden="false" customHeight="true" outlineLevel="0" collapsed="false">
      <c r="A60" s="88" t="s">
        <v>155</v>
      </c>
      <c r="B60" s="69"/>
      <c r="C60" s="69"/>
      <c r="D60" s="69"/>
      <c r="E60" s="69"/>
      <c r="F60" s="69"/>
    </row>
    <row r="61" customFormat="false" ht="24" hidden="false" customHeight="true" outlineLevel="0" collapsed="false">
      <c r="A61" s="88" t="s">
        <v>156</v>
      </c>
      <c r="B61" s="69"/>
      <c r="C61" s="69"/>
      <c r="D61" s="69"/>
      <c r="E61" s="69"/>
      <c r="F61" s="69"/>
    </row>
  </sheetData>
  <sheetProtection sheet="true" formatColumns="false" formatRows="false"/>
  <mergeCells count="39">
    <mergeCell ref="B5:D5"/>
    <mergeCell ref="B6:D6"/>
    <mergeCell ref="B7:D7"/>
    <mergeCell ref="B8:D8"/>
    <mergeCell ref="A11:F12"/>
    <mergeCell ref="B19:F19"/>
    <mergeCell ref="A22:F22"/>
    <mergeCell ref="D23:F23"/>
    <mergeCell ref="D24:F24"/>
    <mergeCell ref="D25:F25"/>
    <mergeCell ref="D26:F26"/>
    <mergeCell ref="D27:F27"/>
    <mergeCell ref="D28:F28"/>
    <mergeCell ref="E32:F32"/>
    <mergeCell ref="E33:F33"/>
    <mergeCell ref="E34:F34"/>
    <mergeCell ref="E35:F35"/>
    <mergeCell ref="C39:F39"/>
    <mergeCell ref="C40:F40"/>
    <mergeCell ref="C41:F41"/>
    <mergeCell ref="C42:F42"/>
    <mergeCell ref="C43:F43"/>
    <mergeCell ref="C44:F44"/>
    <mergeCell ref="C45:F45"/>
    <mergeCell ref="A46:F46"/>
    <mergeCell ref="A50:B50"/>
    <mergeCell ref="C50:F50"/>
    <mergeCell ref="A51:B51"/>
    <mergeCell ref="C51:F51"/>
    <mergeCell ref="A52:B52"/>
    <mergeCell ref="C52:F52"/>
    <mergeCell ref="A53:B53"/>
    <mergeCell ref="C53:F53"/>
    <mergeCell ref="B56:F56"/>
    <mergeCell ref="B57:F57"/>
    <mergeCell ref="B58:F58"/>
    <mergeCell ref="B59:F59"/>
    <mergeCell ref="B60:F60"/>
    <mergeCell ref="B61:F61"/>
  </mergeCells>
  <conditionalFormatting sqref="A19">
    <cfRule type="cellIs" priority="2" operator="equal" aboveAverage="0" equalAverage="0" bottom="0" percent="0" rank="0" text="" dxfId="3">
      <formula>"STRONG"</formula>
    </cfRule>
    <cfRule type="cellIs" priority="3" operator="equal" aboveAverage="0" equalAverage="0" bottom="0" percent="0" rank="0" text="" dxfId="1">
      <formula>"DEPENDS ON ESTIMATES"</formula>
    </cfRule>
    <cfRule type="cellIs" priority="4" operator="equal" aboveAverage="0" equalAverage="0" bottom="0" percent="0" rank="0" text="" dxfId="4">
      <formula>"WEAK"</formula>
    </cfRule>
  </conditionalFormatting>
  <conditionalFormatting sqref="C24:C28">
    <cfRule type="expression" priority="5" aboveAverage="0" equalAverage="0" bottom="0" percent="0" rank="0" text="" dxfId="3">
      <formula>C24="A"</formula>
    </cfRule>
    <cfRule type="expression" priority="6" aboveAverage="0" equalAverage="0" bottom="0" percent="0" rank="0" text="" dxfId="1">
      <formula>C24="B"</formula>
    </cfRule>
    <cfRule type="expression" priority="7" aboveAverage="0" equalAverage="0" bottom="0" percent="0" rank="0" text="" dxfId="4">
      <formula>C24="C"</formula>
    </cfRule>
  </conditionalFormatting>
  <conditionalFormatting sqref="B39:B45">
    <cfRule type="cellIs" priority="8" operator="equal" aboveAverage="0" equalAverage="0" bottom="0" percent="0" rank="0" text="" dxfId="3">
      <formula>"OK"</formula>
    </cfRule>
    <cfRule type="cellIs" priority="9" operator="equal" aboveAverage="0" equalAverage="0" bottom="0" percent="0" rank="0" text="" dxfId="4">
      <formula>"Fix"</formula>
    </cfRule>
  </conditionalFormatting>
  <conditionalFormatting sqref="A46">
    <cfRule type="cellIs" priority="10" operator="equal" aboveAverage="0" equalAverage="0" bottom="0" percent="0" rank="0" text="" dxfId="5">
      <formula>"READY FOR THE CFO"</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BenefitPartner · The Business Case Method&amp;R&amp;8 benefitpartner.dk · &amp;P /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F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8"/>
    <col collapsed="false" customWidth="true" hidden="false" outlineLevel="0" max="3" min="3" style="0" width="30"/>
    <col collapsed="false" customWidth="true" hidden="false" outlineLevel="0" max="4" min="4" style="0" width="14"/>
    <col collapsed="false" customWidth="true" hidden="false" outlineLevel="0" max="5" min="5" style="0" width="12"/>
    <col collapsed="false" customWidth="true" hidden="false" outlineLevel="0" max="6" min="6" style="0" width="44"/>
    <col collapsed="false" customWidth="true" hidden="false" outlineLevel="0" max="7" min="7" style="0" width="32"/>
    <col collapsed="false" customWidth="true" hidden="false" outlineLevel="0" max="8" min="8" style="0" width="18"/>
    <col collapsed="false" customWidth="true" hidden="false" outlineLevel="0" max="9" min="9" style="0" width="10"/>
    <col collapsed="false" customWidth="true" hidden="false" outlineLevel="0" max="10" min="10" style="0" width="20"/>
    <col collapsed="false" customWidth="true" hidden="false" outlineLevel="0" max="11" min="11" style="0" width="11"/>
    <col collapsed="false" customWidth="true" hidden="false" outlineLevel="0" max="13" min="12" style="0" width="10"/>
    <col collapsed="false" customWidth="true" hidden="false" outlineLevel="0" max="14" min="14" style="0" width="20"/>
    <col collapsed="false" customWidth="true" hidden="false" outlineLevel="0" max="15" min="15" style="0" width="11"/>
    <col collapsed="false" customWidth="true" hidden="false" outlineLevel="0" max="16" min="16" style="0" width="16"/>
    <col collapsed="false" customWidth="true" hidden="false" outlineLevel="0" max="17" min="17" style="0" width="10"/>
    <col collapsed="false" customWidth="true" hidden="false" outlineLevel="0" max="18" min="18" style="0" width="11"/>
    <col collapsed="false" customWidth="true" hidden="false" outlineLevel="0" max="19" min="19" style="0" width="18"/>
    <col collapsed="false" customWidth="true" hidden="false" outlineLevel="0" max="20" min="20" style="0" width="16"/>
    <col collapsed="false" customWidth="true" hidden="false" outlineLevel="0" max="21" min="21" style="0" width="11"/>
    <col collapsed="false" customWidth="true" hidden="false" outlineLevel="0" max="22" min="22" style="0" width="12"/>
    <col collapsed="false" customWidth="true" hidden="false" outlineLevel="0" max="23" min="23" style="0" width="8"/>
    <col collapsed="false" customWidth="true" hidden="false" outlineLevel="0" max="24" min="24" style="0" width="13"/>
    <col collapsed="false" customWidth="true" hidden="false" outlineLevel="0" max="25" min="25" style="0" width="26"/>
    <col collapsed="false" customWidth="true" hidden="false" outlineLevel="0" max="26" min="26" style="0" width="9"/>
    <col collapsed="false" customWidth="true" hidden="false" outlineLevel="0" max="27" min="27" style="0" width="50"/>
    <col collapsed="false" customWidth="true" hidden="false" outlineLevel="0" max="28" min="28" style="0" width="44"/>
    <col collapsed="false" customWidth="true" hidden="true" outlineLevel="0" max="32" min="29" style="0" width="10"/>
  </cols>
  <sheetData>
    <row r="1" customFormat="false" ht="54" hidden="false" customHeight="true" outlineLevel="0" collapsed="false">
      <c r="A1" s="1" t="s">
        <v>157</v>
      </c>
      <c r="K1" s="35" t="str">
        <f aca="false">HYPERLINK("#'Start Here'!A4","← Case Map")</f>
        <v>← Case Map</v>
      </c>
    </row>
    <row r="2" customFormat="false" ht="13.5" hidden="false" customHeight="true" outlineLevel="0" collapsed="false">
      <c r="A2" s="89" t="s">
        <v>158</v>
      </c>
      <c r="B2" s="89"/>
      <c r="C2" s="90" t="s">
        <v>159</v>
      </c>
      <c r="G2" s="89" t="s">
        <v>160</v>
      </c>
      <c r="H2" s="89"/>
      <c r="I2" s="89"/>
      <c r="J2" s="89"/>
      <c r="K2" s="91" t="s">
        <v>161</v>
      </c>
      <c r="L2" s="91"/>
      <c r="M2" s="91"/>
      <c r="N2" s="91"/>
      <c r="O2" s="91"/>
      <c r="P2" s="91"/>
      <c r="Q2" s="91"/>
      <c r="R2" s="91"/>
      <c r="S2" s="91"/>
      <c r="T2" s="91"/>
    </row>
    <row r="3" customFormat="false" ht="43.5" hidden="false" customHeight="true" outlineLevel="0" collapsed="false">
      <c r="A3" s="92" t="n">
        <f aca="false">X31</f>
        <v>0</v>
      </c>
      <c r="B3" s="92"/>
      <c r="C3" s="18" t="str">
        <f aca="false">IF(ISNUMBER('CFO Appendix'!C31),'CFO Appendix'!C31&amp;" months payback",IF(X31=0,"Payback: –","Payback: over 3 years"))&amp;CHAR(10)&amp;COUNTIF(Y6:Y30,"Complete")&amp;" of "&amp;COUNTIF(C6:C30,"?*")&amp;" lines complete"&amp;CHAR(10)&amp;IF(COUNTIF('Executive Summary'!B39:B45,"OK")=7,"Ready for the CFO","Not ready — "&amp;(7-COUNTIF('Executive Summary'!B39:B45,"OK"))&amp;" check(s) to fix")</f>
        <v>Payback: –
0 of 0 lines complete
Not ready — 5 check(s) to fix</v>
      </c>
      <c r="G3" s="93" t="str">
        <f aca="false">IF(N(V31)=0,"–",FIXED(SUMIF(P6:P30,"Measured in our systems",V6:V30)/V31*100,0)&amp;"% measured · "&amp;FIXED(100-ROUND(SUMIF(P6:P30,"Measured in our systems",V6:V30)/V31*100,0)-ROUND(SUMIF(P6:P30,"Gut feeling",V6:V30)/V31*100,0),0)&amp;"% estimated · "&amp;FIXED(SUMIF(P6:P30,"Gut feeling",V6:V30)/V31*100,0)&amp;"% gut feeling")</f>
        <v>–</v>
      </c>
      <c r="H3" s="93"/>
      <c r="I3" s="93"/>
      <c r="J3" s="93"/>
      <c r="K3" s="91"/>
      <c r="L3" s="91"/>
      <c r="M3" s="91"/>
      <c r="N3" s="91"/>
      <c r="O3" s="91"/>
      <c r="P3" s="91"/>
      <c r="Q3" s="91"/>
      <c r="R3" s="91"/>
      <c r="S3" s="91"/>
      <c r="T3" s="91"/>
    </row>
    <row r="4" customFormat="false" ht="15" hidden="false" customHeight="false" outlineLevel="0" collapsed="false">
      <c r="A4" s="94"/>
      <c r="B4" s="95" t="s">
        <v>162</v>
      </c>
      <c r="C4" s="95"/>
      <c r="D4" s="95"/>
      <c r="E4" s="95"/>
      <c r="F4" s="95"/>
      <c r="G4" s="96" t="s">
        <v>163</v>
      </c>
      <c r="H4" s="96"/>
      <c r="I4" s="97" t="s">
        <v>164</v>
      </c>
      <c r="J4" s="97"/>
      <c r="K4" s="98" t="s">
        <v>165</v>
      </c>
      <c r="L4" s="98"/>
      <c r="M4" s="98"/>
      <c r="N4" s="98"/>
      <c r="O4" s="99" t="s">
        <v>166</v>
      </c>
      <c r="P4" s="99"/>
      <c r="Q4" s="100" t="s">
        <v>167</v>
      </c>
      <c r="R4" s="100"/>
      <c r="S4" s="100"/>
      <c r="T4" s="101" t="s">
        <v>168</v>
      </c>
      <c r="U4" s="102" t="s">
        <v>169</v>
      </c>
      <c r="V4" s="102"/>
      <c r="W4" s="102"/>
      <c r="X4" s="102"/>
      <c r="Y4" s="102"/>
      <c r="Z4" s="102"/>
      <c r="AA4" s="102"/>
      <c r="AB4" s="102"/>
    </row>
    <row r="5" customFormat="false" ht="61.5" hidden="false" customHeight="true" outlineLevel="0" collapsed="false">
      <c r="A5" s="5" t="s">
        <v>170</v>
      </c>
      <c r="B5" s="5" t="s">
        <v>171</v>
      </c>
      <c r="C5" s="5" t="s">
        <v>172</v>
      </c>
      <c r="D5" s="5" t="s">
        <v>173</v>
      </c>
      <c r="E5" s="5" t="s">
        <v>174</v>
      </c>
      <c r="F5" s="5" t="s">
        <v>175</v>
      </c>
      <c r="G5" s="5" t="s">
        <v>176</v>
      </c>
      <c r="H5" s="5" t="s">
        <v>177</v>
      </c>
      <c r="I5" s="5" t="s">
        <v>178</v>
      </c>
      <c r="J5" s="5" t="s">
        <v>179</v>
      </c>
      <c r="K5" s="5" t="s">
        <v>180</v>
      </c>
      <c r="L5" s="5" t="s">
        <v>181</v>
      </c>
      <c r="M5" s="5" t="s">
        <v>182</v>
      </c>
      <c r="N5" s="5" t="s">
        <v>183</v>
      </c>
      <c r="O5" s="5" t="s">
        <v>184</v>
      </c>
      <c r="P5" s="5" t="s">
        <v>185</v>
      </c>
      <c r="Q5" s="5" t="s">
        <v>186</v>
      </c>
      <c r="R5" s="5" t="s">
        <v>187</v>
      </c>
      <c r="S5" s="5" t="s">
        <v>188</v>
      </c>
      <c r="T5" s="5" t="s">
        <v>189</v>
      </c>
      <c r="U5" s="5" t="s">
        <v>190</v>
      </c>
      <c r="V5" s="5" t="s">
        <v>191</v>
      </c>
      <c r="W5" s="5" t="s">
        <v>192</v>
      </c>
      <c r="X5" s="5" t="s">
        <v>116</v>
      </c>
      <c r="Y5" s="5" t="s">
        <v>193</v>
      </c>
      <c r="Z5" s="5" t="s">
        <v>194</v>
      </c>
      <c r="AA5" s="5" t="s">
        <v>195</v>
      </c>
      <c r="AB5" s="5" t="s">
        <v>196</v>
      </c>
      <c r="AC5" s="5" t="s">
        <v>197</v>
      </c>
      <c r="AD5" s="5" t="s">
        <v>198</v>
      </c>
      <c r="AE5" s="5" t="s">
        <v>199</v>
      </c>
      <c r="AF5" s="5" t="s">
        <v>200</v>
      </c>
    </row>
    <row r="6" customFormat="false" ht="48" hidden="false" customHeight="true" outlineLevel="0" collapsed="false">
      <c r="A6" s="103" t="s">
        <v>201</v>
      </c>
      <c r="B6" s="69"/>
      <c r="C6" s="69"/>
      <c r="D6" s="104" t="str">
        <f aca="false">IF(AD6="","",INDEX(Library!$F$5:$F$169,AD6))</f>
        <v/>
      </c>
      <c r="E6" s="104" t="str">
        <f aca="false">IF(AD6="","",TRIM(IF(INDEX(Library!$G$5:$G$169,AD6)="Yes","SEE ","")&amp;IF(INDEX(Library!$H$5:$H$169,AD6)="Yes","STEER ","")&amp;IF(INDEX(Library!$I$5:$I$169,AD6)="Yes","KEEP","")))</f>
        <v/>
      </c>
      <c r="F6" s="105" t="str">
        <f aca="false">IF(AD6="","",INDEX(Library!$J$5:$J$169,AD6)&amp;IF(INDEX(Library!$K$5:$K$169,AD6)="","",CHAR(10)&amp;"Count: "&amp;INDEX(Library!$K$5:$K$169,AD6)))</f>
        <v/>
      </c>
      <c r="G6" s="69"/>
      <c r="H6" s="69"/>
      <c r="I6" s="106"/>
      <c r="J6" s="69"/>
      <c r="K6" s="106"/>
      <c r="L6" s="106"/>
      <c r="M6" s="106"/>
      <c r="N6" s="69"/>
      <c r="O6" s="107"/>
      <c r="P6" s="69"/>
      <c r="Q6" s="69"/>
      <c r="R6" s="69"/>
      <c r="S6" s="69"/>
      <c r="T6" s="69"/>
      <c r="U6" s="108" t="str">
        <f aca="false">IF(K6&lt;&gt;"",K6,IF(AND(L6&lt;&gt;"",M6&lt;&gt;""),L6/60*M6,""))</f>
        <v/>
      </c>
      <c r="V6" s="109" t="str">
        <f aca="false">IF(OR(I6="",U6="",O6=""),"",I6*U6*O6)</f>
        <v/>
      </c>
      <c r="W6" s="110" t="str">
        <f aca="false">IF(P6="","",IFERROR(INDEX('CFO Appendix'!$B$6:$B$8,MATCH(P6,'CFO Appendix'!$A$6:$A$8,0)),""))</f>
        <v/>
      </c>
      <c r="X6" s="109" t="str">
        <f aca="false">IF(OR(V6="",W6=""),"",V6*W6)</f>
        <v/>
      </c>
      <c r="Y6" s="111" t="str">
        <f aca="false">IF(AND(B6="",C6=""),"",IF(C6="","Choose a capability",IF(AD6="","Capability not in this domain",IF(COUNTIFS($B$6:$B$30,B6,$C$6:$C$30,C6)&gt;1,"Chosen twice",IF(AC6="","Complete","Missing: "&amp;LEFT(AC6,LEN(AC6)-2))))))</f>
        <v/>
      </c>
      <c r="Z6" s="112" t="str">
        <f aca="false">IF(V6="","",IF(AND(P6="Measured in our systems",Q6="Yes"),"A",IF(P6="Gut feeling","C","B")))</f>
        <v/>
      </c>
      <c r="AA6" s="111" t="str">
        <f aca="false">IF(Y6&lt;&gt;"Complete","","We remove "&amp;FIXED(O6*100,0)&amp;"% of "&amp;FIXED(I6,0)&amp;" "&amp;H6&amp;" a year — worth €"&amp;FIXED(V6,0)&amp;" a year. The number is "&amp;IF(P6="Measured in our systems","measured",IF(P6="Qualified estimate","a qualified estimate","a gut feeling"))&amp;" ("&amp;J6&amp;"). Owner: "&amp;T6&amp;".")</f>
        <v/>
      </c>
      <c r="AB6" s="113" t="str">
        <f aca="false">IF(C6="","",IF(AE6="",IF(Z6="A","Solid — measured and on the bottom line. Be ready to show the source.","Be ready to show where the numbers come from."),LEFT(AE6,LEN(AE6)-3)))</f>
        <v/>
      </c>
      <c r="AC6" s="0" t="str">
        <f aca="false">IF(G6="","problem, ","")&amp;IF(H6="","what we count, ","")&amp;IF(I6="","times per year, ","")&amp;IF(J6="","source of times, ","")&amp;IF(U6="","cost each time, ","")&amp;IF(N6="","source of cost, ","")&amp;IF(O6="","share removed, ","")&amp;IF(P6="","how sure, ","")&amp;IF(Q6="","bottom line, ","")&amp;IF(R6="","shared benefit, ","")&amp;IF(AND(R6="Yes",S6=""),"which line, ","")&amp;IF(T6="","Benefit Owner, ","")</f>
        <v>problem, what we count, times per year, source of times, cost each time, source of cost, share removed, how sure, bottom line, shared benefit, Benefit Owner, </v>
      </c>
      <c r="AD6" s="0" t="str">
        <f aca="true">IF(OR(B6="",C6=""),"",IFERROR(MATCH(B6,Library!$D$5:$D$169,0)+MATCH(C6,OFFSET(Library!$E$5,MATCH(B6,Library!$D$5:$D$169,0)-1,0,COUNTIF(Library!$D$5:$D$169,B6),1),0)-1,""))</f>
        <v/>
      </c>
      <c r="AE6" s="0" t="str">
        <f aca="false">IF(C6="","",IF(O6=1,"Is removing 100% of the problem realistic? · ","")&amp;IF(AND(P6="Gut feeling",ISNUMBER(V6)),IF(V6=MAX($V$6:$V$30),"Your biggest line rests on a gut feeling — can you measure it? · ","A gut feeling — what would it take to measure it? · "),"")&amp;IF(AND(P6="Qualified estimate",ISNUMBER(V6)),IF(V6=MAX($V$6:$V$30),"Your biggest line is an estimate — can you count it in your systems? · ",""),"")&amp;IF(Q6="No","How does the time saved turn into money? · ","")&amp;IF(AND(ISNUMBER(U6),N(U6)&gt;5000),"Check the cost: is it really per occurrence? · ","")&amp;IF(AND(ISNUMBER(I6),N(I6)&gt;100000),"Check the count: is it really per year? · ","")&amp;IF(R6="Yes","Merge or remove the overlap before the CFO sees it. · ",""))</f>
        <v/>
      </c>
      <c r="AF6" s="0" t="str">
        <f aca="false">IF(ISNUMBER(X6),X6+ROW()/1000000,"")</f>
        <v/>
      </c>
    </row>
    <row r="7" customFormat="false" ht="48" hidden="false" customHeight="true" outlineLevel="0" collapsed="false">
      <c r="A7" s="103" t="s">
        <v>202</v>
      </c>
      <c r="B7" s="69"/>
      <c r="C7" s="69"/>
      <c r="D7" s="104" t="str">
        <f aca="false">IF(AD7="","",INDEX(Library!$F$5:$F$169,AD7))</f>
        <v/>
      </c>
      <c r="E7" s="104" t="str">
        <f aca="false">IF(AD7="","",TRIM(IF(INDEX(Library!$G$5:$G$169,AD7)="Yes","SEE ","")&amp;IF(INDEX(Library!$H$5:$H$169,AD7)="Yes","STEER ","")&amp;IF(INDEX(Library!$I$5:$I$169,AD7)="Yes","KEEP","")))</f>
        <v/>
      </c>
      <c r="F7" s="105" t="str">
        <f aca="false">IF(AD7="","",INDEX(Library!$J$5:$J$169,AD7)&amp;IF(INDEX(Library!$K$5:$K$169,AD7)="","",CHAR(10)&amp;"Count: "&amp;INDEX(Library!$K$5:$K$169,AD7)))</f>
        <v/>
      </c>
      <c r="G7" s="69"/>
      <c r="H7" s="69"/>
      <c r="I7" s="106"/>
      <c r="J7" s="69"/>
      <c r="K7" s="106"/>
      <c r="L7" s="106"/>
      <c r="M7" s="106"/>
      <c r="N7" s="69"/>
      <c r="O7" s="107"/>
      <c r="P7" s="69"/>
      <c r="Q7" s="69"/>
      <c r="R7" s="69"/>
      <c r="S7" s="69"/>
      <c r="T7" s="69"/>
      <c r="U7" s="108" t="str">
        <f aca="false">IF(K7&lt;&gt;"",K7,IF(AND(L7&lt;&gt;"",M7&lt;&gt;""),L7/60*M7,""))</f>
        <v/>
      </c>
      <c r="V7" s="109" t="str">
        <f aca="false">IF(OR(I7="",U7="",O7=""),"",I7*U7*O7)</f>
        <v/>
      </c>
      <c r="W7" s="110" t="str">
        <f aca="false">IF(P7="","",IFERROR(INDEX('CFO Appendix'!$B$6:$B$8,MATCH(P7,'CFO Appendix'!$A$6:$A$8,0)),""))</f>
        <v/>
      </c>
      <c r="X7" s="109" t="str">
        <f aca="false">IF(OR(V7="",W7=""),"",V7*W7)</f>
        <v/>
      </c>
      <c r="Y7" s="111" t="str">
        <f aca="false">IF(AND(B7="",C7=""),"",IF(C7="","Choose a capability",IF(AD7="","Capability not in this domain",IF(COUNTIFS($B$6:$B$30,B7,$C$6:$C$30,C7)&gt;1,"Chosen twice",IF(AC7="","Complete","Missing: "&amp;LEFT(AC7,LEN(AC7)-2))))))</f>
        <v/>
      </c>
      <c r="Z7" s="112" t="str">
        <f aca="false">IF(V7="","",IF(AND(P7="Measured in our systems",Q7="Yes"),"A",IF(P7="Gut feeling","C","B")))</f>
        <v/>
      </c>
      <c r="AA7" s="111" t="str">
        <f aca="false">IF(Y7&lt;&gt;"Complete","","We remove "&amp;FIXED(O7*100,0)&amp;"% of "&amp;FIXED(I7,0)&amp;" "&amp;H7&amp;" a year — worth €"&amp;FIXED(V7,0)&amp;" a year. The number is "&amp;IF(P7="Measured in our systems","measured",IF(P7="Qualified estimate","a qualified estimate","a gut feeling"))&amp;" ("&amp;J7&amp;"). Owner: "&amp;T7&amp;".")</f>
        <v/>
      </c>
      <c r="AB7" s="113" t="str">
        <f aca="false">IF(C7="","",IF(AE7="",IF(Z7="A","Solid — measured and on the bottom line. Be ready to show the source.","Be ready to show where the numbers come from."),LEFT(AE7,LEN(AE7)-3)))</f>
        <v/>
      </c>
      <c r="AC7" s="0" t="str">
        <f aca="false">IF(G7="","problem, ","")&amp;IF(H7="","what we count, ","")&amp;IF(I7="","times per year, ","")&amp;IF(J7="","source of times, ","")&amp;IF(U7="","cost each time, ","")&amp;IF(N7="","source of cost, ","")&amp;IF(O7="","share removed, ","")&amp;IF(P7="","how sure, ","")&amp;IF(Q7="","bottom line, ","")&amp;IF(R7="","shared benefit, ","")&amp;IF(AND(R7="Yes",S7=""),"which line, ","")&amp;IF(T7="","Benefit Owner, ","")</f>
        <v>problem, what we count, times per year, source of times, cost each time, source of cost, share removed, how sure, bottom line, shared benefit, Benefit Owner, </v>
      </c>
      <c r="AD7" s="0" t="str">
        <f aca="true">IF(OR(B7="",C7=""),"",IFERROR(MATCH(B7,Library!$D$5:$D$169,0)+MATCH(C7,OFFSET(Library!$E$5,MATCH(B7,Library!$D$5:$D$169,0)-1,0,COUNTIF(Library!$D$5:$D$169,B7),1),0)-1,""))</f>
        <v/>
      </c>
      <c r="AE7" s="0" t="str">
        <f aca="false">IF(C7="","",IF(O7=1,"Is removing 100% of the problem realistic? · ","")&amp;IF(AND(P7="Gut feeling",ISNUMBER(V7)),IF(V7=MAX($V$6:$V$30),"Your biggest line rests on a gut feeling — can you measure it? · ","A gut feeling — what would it take to measure it? · "),"")&amp;IF(AND(P7="Qualified estimate",ISNUMBER(V7)),IF(V7=MAX($V$6:$V$30),"Your biggest line is an estimate — can you count it in your systems? · ",""),"")&amp;IF(Q7="No","How does the time saved turn into money? · ","")&amp;IF(AND(ISNUMBER(U7),N(U7)&gt;5000),"Check the cost: is it really per occurrence? · ","")&amp;IF(AND(ISNUMBER(I7),N(I7)&gt;100000),"Check the count: is it really per year? · ","")&amp;IF(R7="Yes","Merge or remove the overlap before the CFO sees it. · ",""))</f>
        <v/>
      </c>
      <c r="AF7" s="0" t="str">
        <f aca="false">IF(ISNUMBER(X7),X7+ROW()/1000000,"")</f>
        <v/>
      </c>
    </row>
    <row r="8" customFormat="false" ht="48" hidden="false" customHeight="true" outlineLevel="0" collapsed="false">
      <c r="A8" s="103" t="s">
        <v>203</v>
      </c>
      <c r="B8" s="69"/>
      <c r="C8" s="69"/>
      <c r="D8" s="104" t="str">
        <f aca="false">IF(AD8="","",INDEX(Library!$F$5:$F$169,AD8))</f>
        <v/>
      </c>
      <c r="E8" s="104" t="str">
        <f aca="false">IF(AD8="","",TRIM(IF(INDEX(Library!$G$5:$G$169,AD8)="Yes","SEE ","")&amp;IF(INDEX(Library!$H$5:$H$169,AD8)="Yes","STEER ","")&amp;IF(INDEX(Library!$I$5:$I$169,AD8)="Yes","KEEP","")))</f>
        <v/>
      </c>
      <c r="F8" s="105" t="str">
        <f aca="false">IF(AD8="","",INDEX(Library!$J$5:$J$169,AD8)&amp;IF(INDEX(Library!$K$5:$K$169,AD8)="","",CHAR(10)&amp;"Count: "&amp;INDEX(Library!$K$5:$K$169,AD8)))</f>
        <v/>
      </c>
      <c r="G8" s="69"/>
      <c r="H8" s="69"/>
      <c r="I8" s="106"/>
      <c r="J8" s="69"/>
      <c r="K8" s="106"/>
      <c r="L8" s="106"/>
      <c r="M8" s="106"/>
      <c r="N8" s="69"/>
      <c r="O8" s="107"/>
      <c r="P8" s="69"/>
      <c r="Q8" s="69"/>
      <c r="R8" s="69"/>
      <c r="S8" s="69"/>
      <c r="T8" s="69"/>
      <c r="U8" s="108" t="str">
        <f aca="false">IF(K8&lt;&gt;"",K8,IF(AND(L8&lt;&gt;"",M8&lt;&gt;""),L8/60*M8,""))</f>
        <v/>
      </c>
      <c r="V8" s="109" t="str">
        <f aca="false">IF(OR(I8="",U8="",O8=""),"",I8*U8*O8)</f>
        <v/>
      </c>
      <c r="W8" s="110" t="str">
        <f aca="false">IF(P8="","",IFERROR(INDEX('CFO Appendix'!$B$6:$B$8,MATCH(P8,'CFO Appendix'!$A$6:$A$8,0)),""))</f>
        <v/>
      </c>
      <c r="X8" s="109" t="str">
        <f aca="false">IF(OR(V8="",W8=""),"",V8*W8)</f>
        <v/>
      </c>
      <c r="Y8" s="111" t="str">
        <f aca="false">IF(AND(B8="",C8=""),"",IF(C8="","Choose a capability",IF(AD8="","Capability not in this domain",IF(COUNTIFS($B$6:$B$30,B8,$C$6:$C$30,C8)&gt;1,"Chosen twice",IF(AC8="","Complete","Missing: "&amp;LEFT(AC8,LEN(AC8)-2))))))</f>
        <v/>
      </c>
      <c r="Z8" s="112" t="str">
        <f aca="false">IF(V8="","",IF(AND(P8="Measured in our systems",Q8="Yes"),"A",IF(P8="Gut feeling","C","B")))</f>
        <v/>
      </c>
      <c r="AA8" s="111" t="str">
        <f aca="false">IF(Y8&lt;&gt;"Complete","","We remove "&amp;FIXED(O8*100,0)&amp;"% of "&amp;FIXED(I8,0)&amp;" "&amp;H8&amp;" a year — worth €"&amp;FIXED(V8,0)&amp;" a year. The number is "&amp;IF(P8="Measured in our systems","measured",IF(P8="Qualified estimate","a qualified estimate","a gut feeling"))&amp;" ("&amp;J8&amp;"). Owner: "&amp;T8&amp;".")</f>
        <v/>
      </c>
      <c r="AB8" s="113" t="str">
        <f aca="false">IF(C8="","",IF(AE8="",IF(Z8="A","Solid — measured and on the bottom line. Be ready to show the source.","Be ready to show where the numbers come from."),LEFT(AE8,LEN(AE8)-3)))</f>
        <v/>
      </c>
      <c r="AC8" s="0" t="str">
        <f aca="false">IF(G8="","problem, ","")&amp;IF(H8="","what we count, ","")&amp;IF(I8="","times per year, ","")&amp;IF(J8="","source of times, ","")&amp;IF(U8="","cost each time, ","")&amp;IF(N8="","source of cost, ","")&amp;IF(O8="","share removed, ","")&amp;IF(P8="","how sure, ","")&amp;IF(Q8="","bottom line, ","")&amp;IF(R8="","shared benefit, ","")&amp;IF(AND(R8="Yes",S8=""),"which line, ","")&amp;IF(T8="","Benefit Owner, ","")</f>
        <v>problem, what we count, times per year, source of times, cost each time, source of cost, share removed, how sure, bottom line, shared benefit, Benefit Owner, </v>
      </c>
      <c r="AD8" s="0" t="str">
        <f aca="true">IF(OR(B8="",C8=""),"",IFERROR(MATCH(B8,Library!$D$5:$D$169,0)+MATCH(C8,OFFSET(Library!$E$5,MATCH(B8,Library!$D$5:$D$169,0)-1,0,COUNTIF(Library!$D$5:$D$169,B8),1),0)-1,""))</f>
        <v/>
      </c>
      <c r="AE8" s="0" t="str">
        <f aca="false">IF(C8="","",IF(O8=1,"Is removing 100% of the problem realistic? · ","")&amp;IF(AND(P8="Gut feeling",ISNUMBER(V8)),IF(V8=MAX($V$6:$V$30),"Your biggest line rests on a gut feeling — can you measure it? · ","A gut feeling — what would it take to measure it? · "),"")&amp;IF(AND(P8="Qualified estimate",ISNUMBER(V8)),IF(V8=MAX($V$6:$V$30),"Your biggest line is an estimate — can you count it in your systems? · ",""),"")&amp;IF(Q8="No","How does the time saved turn into money? · ","")&amp;IF(AND(ISNUMBER(U8),N(U8)&gt;5000),"Check the cost: is it really per occurrence? · ","")&amp;IF(AND(ISNUMBER(I8),N(I8)&gt;100000),"Check the count: is it really per year? · ","")&amp;IF(R8="Yes","Merge or remove the overlap before the CFO sees it. · ",""))</f>
        <v/>
      </c>
      <c r="AF8" s="0" t="str">
        <f aca="false">IF(ISNUMBER(X8),X8+ROW()/1000000,"")</f>
        <v/>
      </c>
    </row>
    <row r="9" customFormat="false" ht="48" hidden="false" customHeight="true" outlineLevel="0" collapsed="false">
      <c r="A9" s="103" t="s">
        <v>204</v>
      </c>
      <c r="B9" s="69"/>
      <c r="C9" s="69"/>
      <c r="D9" s="104" t="str">
        <f aca="false">IF(AD9="","",INDEX(Library!$F$5:$F$169,AD9))</f>
        <v/>
      </c>
      <c r="E9" s="104" t="str">
        <f aca="false">IF(AD9="","",TRIM(IF(INDEX(Library!$G$5:$G$169,AD9)="Yes","SEE ","")&amp;IF(INDEX(Library!$H$5:$H$169,AD9)="Yes","STEER ","")&amp;IF(INDEX(Library!$I$5:$I$169,AD9)="Yes","KEEP","")))</f>
        <v/>
      </c>
      <c r="F9" s="105" t="str">
        <f aca="false">IF(AD9="","",INDEX(Library!$J$5:$J$169,AD9)&amp;IF(INDEX(Library!$K$5:$K$169,AD9)="","",CHAR(10)&amp;"Count: "&amp;INDEX(Library!$K$5:$K$169,AD9)))</f>
        <v/>
      </c>
      <c r="G9" s="69"/>
      <c r="H9" s="69"/>
      <c r="I9" s="106"/>
      <c r="J9" s="69"/>
      <c r="K9" s="106"/>
      <c r="L9" s="106"/>
      <c r="M9" s="106"/>
      <c r="N9" s="69"/>
      <c r="O9" s="107"/>
      <c r="P9" s="69"/>
      <c r="Q9" s="69"/>
      <c r="R9" s="69"/>
      <c r="S9" s="69"/>
      <c r="T9" s="69"/>
      <c r="U9" s="108" t="str">
        <f aca="false">IF(K9&lt;&gt;"",K9,IF(AND(L9&lt;&gt;"",M9&lt;&gt;""),L9/60*M9,""))</f>
        <v/>
      </c>
      <c r="V9" s="109" t="str">
        <f aca="false">IF(OR(I9="",U9="",O9=""),"",I9*U9*O9)</f>
        <v/>
      </c>
      <c r="W9" s="110" t="str">
        <f aca="false">IF(P9="","",IFERROR(INDEX('CFO Appendix'!$B$6:$B$8,MATCH(P9,'CFO Appendix'!$A$6:$A$8,0)),""))</f>
        <v/>
      </c>
      <c r="X9" s="109" t="str">
        <f aca="false">IF(OR(V9="",W9=""),"",V9*W9)</f>
        <v/>
      </c>
      <c r="Y9" s="111" t="str">
        <f aca="false">IF(AND(B9="",C9=""),"",IF(C9="","Choose a capability",IF(AD9="","Capability not in this domain",IF(COUNTIFS($B$6:$B$30,B9,$C$6:$C$30,C9)&gt;1,"Chosen twice",IF(AC9="","Complete","Missing: "&amp;LEFT(AC9,LEN(AC9)-2))))))</f>
        <v/>
      </c>
      <c r="Z9" s="112" t="str">
        <f aca="false">IF(V9="","",IF(AND(P9="Measured in our systems",Q9="Yes"),"A",IF(P9="Gut feeling","C","B")))</f>
        <v/>
      </c>
      <c r="AA9" s="111" t="str">
        <f aca="false">IF(Y9&lt;&gt;"Complete","","We remove "&amp;FIXED(O9*100,0)&amp;"% of "&amp;FIXED(I9,0)&amp;" "&amp;H9&amp;" a year — worth €"&amp;FIXED(V9,0)&amp;" a year. The number is "&amp;IF(P9="Measured in our systems","measured",IF(P9="Qualified estimate","a qualified estimate","a gut feeling"))&amp;" ("&amp;J9&amp;"). Owner: "&amp;T9&amp;".")</f>
        <v/>
      </c>
      <c r="AB9" s="113" t="str">
        <f aca="false">IF(C9="","",IF(AE9="",IF(Z9="A","Solid — measured and on the bottom line. Be ready to show the source.","Be ready to show where the numbers come from."),LEFT(AE9,LEN(AE9)-3)))</f>
        <v/>
      </c>
      <c r="AC9" s="0" t="str">
        <f aca="false">IF(G9="","problem, ","")&amp;IF(H9="","what we count, ","")&amp;IF(I9="","times per year, ","")&amp;IF(J9="","source of times, ","")&amp;IF(U9="","cost each time, ","")&amp;IF(N9="","source of cost, ","")&amp;IF(O9="","share removed, ","")&amp;IF(P9="","how sure, ","")&amp;IF(Q9="","bottom line, ","")&amp;IF(R9="","shared benefit, ","")&amp;IF(AND(R9="Yes",S9=""),"which line, ","")&amp;IF(T9="","Benefit Owner, ","")</f>
        <v>problem, what we count, times per year, source of times, cost each time, source of cost, share removed, how sure, bottom line, shared benefit, Benefit Owner, </v>
      </c>
      <c r="AD9" s="0" t="str">
        <f aca="true">IF(OR(B9="",C9=""),"",IFERROR(MATCH(B9,Library!$D$5:$D$169,0)+MATCH(C9,OFFSET(Library!$E$5,MATCH(B9,Library!$D$5:$D$169,0)-1,0,COUNTIF(Library!$D$5:$D$169,B9),1),0)-1,""))</f>
        <v/>
      </c>
      <c r="AE9" s="0" t="str">
        <f aca="false">IF(C9="","",IF(O9=1,"Is removing 100% of the problem realistic? · ","")&amp;IF(AND(P9="Gut feeling",ISNUMBER(V9)),IF(V9=MAX($V$6:$V$30),"Your biggest line rests on a gut feeling — can you measure it? · ","A gut feeling — what would it take to measure it? · "),"")&amp;IF(AND(P9="Qualified estimate",ISNUMBER(V9)),IF(V9=MAX($V$6:$V$30),"Your biggest line is an estimate — can you count it in your systems? · ",""),"")&amp;IF(Q9="No","How does the time saved turn into money? · ","")&amp;IF(AND(ISNUMBER(U9),N(U9)&gt;5000),"Check the cost: is it really per occurrence? · ","")&amp;IF(AND(ISNUMBER(I9),N(I9)&gt;100000),"Check the count: is it really per year? · ","")&amp;IF(R9="Yes","Merge or remove the overlap before the CFO sees it. · ",""))</f>
        <v/>
      </c>
      <c r="AF9" s="0" t="str">
        <f aca="false">IF(ISNUMBER(X9),X9+ROW()/1000000,"")</f>
        <v/>
      </c>
    </row>
    <row r="10" customFormat="false" ht="48" hidden="false" customHeight="true" outlineLevel="0" collapsed="false">
      <c r="A10" s="103" t="s">
        <v>205</v>
      </c>
      <c r="B10" s="69"/>
      <c r="C10" s="69"/>
      <c r="D10" s="104" t="str">
        <f aca="false">IF(AD10="","",INDEX(Library!$F$5:$F$169,AD10))</f>
        <v/>
      </c>
      <c r="E10" s="104" t="str">
        <f aca="false">IF(AD10="","",TRIM(IF(INDEX(Library!$G$5:$G$169,AD10)="Yes","SEE ","")&amp;IF(INDEX(Library!$H$5:$H$169,AD10)="Yes","STEER ","")&amp;IF(INDEX(Library!$I$5:$I$169,AD10)="Yes","KEEP","")))</f>
        <v/>
      </c>
      <c r="F10" s="105" t="str">
        <f aca="false">IF(AD10="","",INDEX(Library!$J$5:$J$169,AD10)&amp;IF(INDEX(Library!$K$5:$K$169,AD10)="","",CHAR(10)&amp;"Count: "&amp;INDEX(Library!$K$5:$K$169,AD10)))</f>
        <v/>
      </c>
      <c r="G10" s="69"/>
      <c r="H10" s="69"/>
      <c r="I10" s="106"/>
      <c r="J10" s="69"/>
      <c r="K10" s="106"/>
      <c r="L10" s="106"/>
      <c r="M10" s="106"/>
      <c r="N10" s="69"/>
      <c r="O10" s="107"/>
      <c r="P10" s="69"/>
      <c r="Q10" s="69"/>
      <c r="R10" s="69"/>
      <c r="S10" s="69"/>
      <c r="T10" s="69"/>
      <c r="U10" s="108" t="str">
        <f aca="false">IF(K10&lt;&gt;"",K10,IF(AND(L10&lt;&gt;"",M10&lt;&gt;""),L10/60*M10,""))</f>
        <v/>
      </c>
      <c r="V10" s="109" t="str">
        <f aca="false">IF(OR(I10="",U10="",O10=""),"",I10*U10*O10)</f>
        <v/>
      </c>
      <c r="W10" s="110" t="str">
        <f aca="false">IF(P10="","",IFERROR(INDEX('CFO Appendix'!$B$6:$B$8,MATCH(P10,'CFO Appendix'!$A$6:$A$8,0)),""))</f>
        <v/>
      </c>
      <c r="X10" s="109" t="str">
        <f aca="false">IF(OR(V10="",W10=""),"",V10*W10)</f>
        <v/>
      </c>
      <c r="Y10" s="111" t="str">
        <f aca="false">IF(AND(B10="",C10=""),"",IF(C10="","Choose a capability",IF(AD10="","Capability not in this domain",IF(COUNTIFS($B$6:$B$30,B10,$C$6:$C$30,C10)&gt;1,"Chosen twice",IF(AC10="","Complete","Missing: "&amp;LEFT(AC10,LEN(AC10)-2))))))</f>
        <v/>
      </c>
      <c r="Z10" s="112" t="str">
        <f aca="false">IF(V10="","",IF(AND(P10="Measured in our systems",Q10="Yes"),"A",IF(P10="Gut feeling","C","B")))</f>
        <v/>
      </c>
      <c r="AA10" s="111" t="str">
        <f aca="false">IF(Y10&lt;&gt;"Complete","","We remove "&amp;FIXED(O10*100,0)&amp;"% of "&amp;FIXED(I10,0)&amp;" "&amp;H10&amp;" a year — worth €"&amp;FIXED(V10,0)&amp;" a year. The number is "&amp;IF(P10="Measured in our systems","measured",IF(P10="Qualified estimate","a qualified estimate","a gut feeling"))&amp;" ("&amp;J10&amp;"). Owner: "&amp;T10&amp;".")</f>
        <v/>
      </c>
      <c r="AB10" s="113" t="str">
        <f aca="false">IF(C10="","",IF(AE10="",IF(Z10="A","Solid — measured and on the bottom line. Be ready to show the source.","Be ready to show where the numbers come from."),LEFT(AE10,LEN(AE10)-3)))</f>
        <v/>
      </c>
      <c r="AC10" s="0" t="str">
        <f aca="false">IF(G10="","problem, ","")&amp;IF(H10="","what we count, ","")&amp;IF(I10="","times per year, ","")&amp;IF(J10="","source of times, ","")&amp;IF(U10="","cost each time, ","")&amp;IF(N10="","source of cost, ","")&amp;IF(O10="","share removed, ","")&amp;IF(P10="","how sure, ","")&amp;IF(Q10="","bottom line, ","")&amp;IF(R10="","shared benefit, ","")&amp;IF(AND(R10="Yes",S10=""),"which line, ","")&amp;IF(T10="","Benefit Owner, ","")</f>
        <v>problem, what we count, times per year, source of times, cost each time, source of cost, share removed, how sure, bottom line, shared benefit, Benefit Owner, </v>
      </c>
      <c r="AD10" s="0" t="str">
        <f aca="true">IF(OR(B10="",C10=""),"",IFERROR(MATCH(B10,Library!$D$5:$D$169,0)+MATCH(C10,OFFSET(Library!$E$5,MATCH(B10,Library!$D$5:$D$169,0)-1,0,COUNTIF(Library!$D$5:$D$169,B10),1),0)-1,""))</f>
        <v/>
      </c>
      <c r="AE10" s="0" t="str">
        <f aca="false">IF(C10="","",IF(O10=1,"Is removing 100% of the problem realistic? · ","")&amp;IF(AND(P10="Gut feeling",ISNUMBER(V10)),IF(V10=MAX($V$6:$V$30),"Your biggest line rests on a gut feeling — can you measure it? · ","A gut feeling — what would it take to measure it? · "),"")&amp;IF(AND(P10="Qualified estimate",ISNUMBER(V10)),IF(V10=MAX($V$6:$V$30),"Your biggest line is an estimate — can you count it in your systems? · ",""),"")&amp;IF(Q10="No","How does the time saved turn into money? · ","")&amp;IF(AND(ISNUMBER(U10),N(U10)&gt;5000),"Check the cost: is it really per occurrence? · ","")&amp;IF(AND(ISNUMBER(I10),N(I10)&gt;100000),"Check the count: is it really per year? · ","")&amp;IF(R10="Yes","Merge or remove the overlap before the CFO sees it. · ",""))</f>
        <v/>
      </c>
      <c r="AF10" s="0" t="str">
        <f aca="false">IF(ISNUMBER(X10),X10+ROW()/1000000,"")</f>
        <v/>
      </c>
    </row>
    <row r="11" customFormat="false" ht="48" hidden="false" customHeight="true" outlineLevel="0" collapsed="false">
      <c r="A11" s="103" t="s">
        <v>206</v>
      </c>
      <c r="B11" s="69"/>
      <c r="C11" s="69"/>
      <c r="D11" s="104" t="str">
        <f aca="false">IF(AD11="","",INDEX(Library!$F$5:$F$169,AD11))</f>
        <v/>
      </c>
      <c r="E11" s="104" t="str">
        <f aca="false">IF(AD11="","",TRIM(IF(INDEX(Library!$G$5:$G$169,AD11)="Yes","SEE ","")&amp;IF(INDEX(Library!$H$5:$H$169,AD11)="Yes","STEER ","")&amp;IF(INDEX(Library!$I$5:$I$169,AD11)="Yes","KEEP","")))</f>
        <v/>
      </c>
      <c r="F11" s="105" t="str">
        <f aca="false">IF(AD11="","",INDEX(Library!$J$5:$J$169,AD11)&amp;IF(INDEX(Library!$K$5:$K$169,AD11)="","",CHAR(10)&amp;"Count: "&amp;INDEX(Library!$K$5:$K$169,AD11)))</f>
        <v/>
      </c>
      <c r="G11" s="69"/>
      <c r="H11" s="69"/>
      <c r="I11" s="106"/>
      <c r="J11" s="69"/>
      <c r="K11" s="106"/>
      <c r="L11" s="106"/>
      <c r="M11" s="106"/>
      <c r="N11" s="69"/>
      <c r="O11" s="107"/>
      <c r="P11" s="69"/>
      <c r="Q11" s="69"/>
      <c r="R11" s="69"/>
      <c r="S11" s="69"/>
      <c r="T11" s="69"/>
      <c r="U11" s="108" t="str">
        <f aca="false">IF(K11&lt;&gt;"",K11,IF(AND(L11&lt;&gt;"",M11&lt;&gt;""),L11/60*M11,""))</f>
        <v/>
      </c>
      <c r="V11" s="109" t="str">
        <f aca="false">IF(OR(I11="",U11="",O11=""),"",I11*U11*O11)</f>
        <v/>
      </c>
      <c r="W11" s="110" t="str">
        <f aca="false">IF(P11="","",IFERROR(INDEX('CFO Appendix'!$B$6:$B$8,MATCH(P11,'CFO Appendix'!$A$6:$A$8,0)),""))</f>
        <v/>
      </c>
      <c r="X11" s="109" t="str">
        <f aca="false">IF(OR(V11="",W11=""),"",V11*W11)</f>
        <v/>
      </c>
      <c r="Y11" s="111" t="str">
        <f aca="false">IF(AND(B11="",C11=""),"",IF(C11="","Choose a capability",IF(AD11="","Capability not in this domain",IF(COUNTIFS($B$6:$B$30,B11,$C$6:$C$30,C11)&gt;1,"Chosen twice",IF(AC11="","Complete","Missing: "&amp;LEFT(AC11,LEN(AC11)-2))))))</f>
        <v/>
      </c>
      <c r="Z11" s="112" t="str">
        <f aca="false">IF(V11="","",IF(AND(P11="Measured in our systems",Q11="Yes"),"A",IF(P11="Gut feeling","C","B")))</f>
        <v/>
      </c>
      <c r="AA11" s="111" t="str">
        <f aca="false">IF(Y11&lt;&gt;"Complete","","We remove "&amp;FIXED(O11*100,0)&amp;"% of "&amp;FIXED(I11,0)&amp;" "&amp;H11&amp;" a year — worth €"&amp;FIXED(V11,0)&amp;" a year. The number is "&amp;IF(P11="Measured in our systems","measured",IF(P11="Qualified estimate","a qualified estimate","a gut feeling"))&amp;" ("&amp;J11&amp;"). Owner: "&amp;T11&amp;".")</f>
        <v/>
      </c>
      <c r="AB11" s="113" t="str">
        <f aca="false">IF(C11="","",IF(AE11="",IF(Z11="A","Solid — measured and on the bottom line. Be ready to show the source.","Be ready to show where the numbers come from."),LEFT(AE11,LEN(AE11)-3)))</f>
        <v/>
      </c>
      <c r="AC11" s="0" t="str">
        <f aca="false">IF(G11="","problem, ","")&amp;IF(H11="","what we count, ","")&amp;IF(I11="","times per year, ","")&amp;IF(J11="","source of times, ","")&amp;IF(U11="","cost each time, ","")&amp;IF(N11="","source of cost, ","")&amp;IF(O11="","share removed, ","")&amp;IF(P11="","how sure, ","")&amp;IF(Q11="","bottom line, ","")&amp;IF(R11="","shared benefit, ","")&amp;IF(AND(R11="Yes",S11=""),"which line, ","")&amp;IF(T11="","Benefit Owner, ","")</f>
        <v>problem, what we count, times per year, source of times, cost each time, source of cost, share removed, how sure, bottom line, shared benefit, Benefit Owner, </v>
      </c>
      <c r="AD11" s="0" t="str">
        <f aca="true">IF(OR(B11="",C11=""),"",IFERROR(MATCH(B11,Library!$D$5:$D$169,0)+MATCH(C11,OFFSET(Library!$E$5,MATCH(B11,Library!$D$5:$D$169,0)-1,0,COUNTIF(Library!$D$5:$D$169,B11),1),0)-1,""))</f>
        <v/>
      </c>
      <c r="AE11" s="0" t="str">
        <f aca="false">IF(C11="","",IF(O11=1,"Is removing 100% of the problem realistic? · ","")&amp;IF(AND(P11="Gut feeling",ISNUMBER(V11)),IF(V11=MAX($V$6:$V$30),"Your biggest line rests on a gut feeling — can you measure it? · ","A gut feeling — what would it take to measure it? · "),"")&amp;IF(AND(P11="Qualified estimate",ISNUMBER(V11)),IF(V11=MAX($V$6:$V$30),"Your biggest line is an estimate — can you count it in your systems? · ",""),"")&amp;IF(Q11="No","How does the time saved turn into money? · ","")&amp;IF(AND(ISNUMBER(U11),N(U11)&gt;5000),"Check the cost: is it really per occurrence? · ","")&amp;IF(AND(ISNUMBER(I11),N(I11)&gt;100000),"Check the count: is it really per year? · ","")&amp;IF(R11="Yes","Merge or remove the overlap before the CFO sees it. · ",""))</f>
        <v/>
      </c>
      <c r="AF11" s="0" t="str">
        <f aca="false">IF(ISNUMBER(X11),X11+ROW()/1000000,"")</f>
        <v/>
      </c>
    </row>
    <row r="12" customFormat="false" ht="48" hidden="false" customHeight="true" outlineLevel="0" collapsed="false">
      <c r="A12" s="103" t="s">
        <v>207</v>
      </c>
      <c r="B12" s="69"/>
      <c r="C12" s="69"/>
      <c r="D12" s="104" t="str">
        <f aca="false">IF(AD12="","",INDEX(Library!$F$5:$F$169,AD12))</f>
        <v/>
      </c>
      <c r="E12" s="104" t="str">
        <f aca="false">IF(AD12="","",TRIM(IF(INDEX(Library!$G$5:$G$169,AD12)="Yes","SEE ","")&amp;IF(INDEX(Library!$H$5:$H$169,AD12)="Yes","STEER ","")&amp;IF(INDEX(Library!$I$5:$I$169,AD12)="Yes","KEEP","")))</f>
        <v/>
      </c>
      <c r="F12" s="105" t="str">
        <f aca="false">IF(AD12="","",INDEX(Library!$J$5:$J$169,AD12)&amp;IF(INDEX(Library!$K$5:$K$169,AD12)="","",CHAR(10)&amp;"Count: "&amp;INDEX(Library!$K$5:$K$169,AD12)))</f>
        <v/>
      </c>
      <c r="G12" s="69"/>
      <c r="H12" s="69"/>
      <c r="I12" s="106"/>
      <c r="J12" s="69"/>
      <c r="K12" s="106"/>
      <c r="L12" s="106"/>
      <c r="M12" s="106"/>
      <c r="N12" s="69"/>
      <c r="O12" s="107"/>
      <c r="P12" s="69"/>
      <c r="Q12" s="69"/>
      <c r="R12" s="69"/>
      <c r="S12" s="69"/>
      <c r="T12" s="69"/>
      <c r="U12" s="108" t="str">
        <f aca="false">IF(K12&lt;&gt;"",K12,IF(AND(L12&lt;&gt;"",M12&lt;&gt;""),L12/60*M12,""))</f>
        <v/>
      </c>
      <c r="V12" s="109" t="str">
        <f aca="false">IF(OR(I12="",U12="",O12=""),"",I12*U12*O12)</f>
        <v/>
      </c>
      <c r="W12" s="110" t="str">
        <f aca="false">IF(P12="","",IFERROR(INDEX('CFO Appendix'!$B$6:$B$8,MATCH(P12,'CFO Appendix'!$A$6:$A$8,0)),""))</f>
        <v/>
      </c>
      <c r="X12" s="109" t="str">
        <f aca="false">IF(OR(V12="",W12=""),"",V12*W12)</f>
        <v/>
      </c>
      <c r="Y12" s="111" t="str">
        <f aca="false">IF(AND(B12="",C12=""),"",IF(C12="","Choose a capability",IF(AD12="","Capability not in this domain",IF(COUNTIFS($B$6:$B$30,B12,$C$6:$C$30,C12)&gt;1,"Chosen twice",IF(AC12="","Complete","Missing: "&amp;LEFT(AC12,LEN(AC12)-2))))))</f>
        <v/>
      </c>
      <c r="Z12" s="112" t="str">
        <f aca="false">IF(V12="","",IF(AND(P12="Measured in our systems",Q12="Yes"),"A",IF(P12="Gut feeling","C","B")))</f>
        <v/>
      </c>
      <c r="AA12" s="111" t="str">
        <f aca="false">IF(Y12&lt;&gt;"Complete","","We remove "&amp;FIXED(O12*100,0)&amp;"% of "&amp;FIXED(I12,0)&amp;" "&amp;H12&amp;" a year — worth €"&amp;FIXED(V12,0)&amp;" a year. The number is "&amp;IF(P12="Measured in our systems","measured",IF(P12="Qualified estimate","a qualified estimate","a gut feeling"))&amp;" ("&amp;J12&amp;"). Owner: "&amp;T12&amp;".")</f>
        <v/>
      </c>
      <c r="AB12" s="113" t="str">
        <f aca="false">IF(C12="","",IF(AE12="",IF(Z12="A","Solid — measured and on the bottom line. Be ready to show the source.","Be ready to show where the numbers come from."),LEFT(AE12,LEN(AE12)-3)))</f>
        <v/>
      </c>
      <c r="AC12" s="0" t="str">
        <f aca="false">IF(G12="","problem, ","")&amp;IF(H12="","what we count, ","")&amp;IF(I12="","times per year, ","")&amp;IF(J12="","source of times, ","")&amp;IF(U12="","cost each time, ","")&amp;IF(N12="","source of cost, ","")&amp;IF(O12="","share removed, ","")&amp;IF(P12="","how sure, ","")&amp;IF(Q12="","bottom line, ","")&amp;IF(R12="","shared benefit, ","")&amp;IF(AND(R12="Yes",S12=""),"which line, ","")&amp;IF(T12="","Benefit Owner, ","")</f>
        <v>problem, what we count, times per year, source of times, cost each time, source of cost, share removed, how sure, bottom line, shared benefit, Benefit Owner, </v>
      </c>
      <c r="AD12" s="0" t="str">
        <f aca="true">IF(OR(B12="",C12=""),"",IFERROR(MATCH(B12,Library!$D$5:$D$169,0)+MATCH(C12,OFFSET(Library!$E$5,MATCH(B12,Library!$D$5:$D$169,0)-1,0,COUNTIF(Library!$D$5:$D$169,B12),1),0)-1,""))</f>
        <v/>
      </c>
      <c r="AE12" s="0" t="str">
        <f aca="false">IF(C12="","",IF(O12=1,"Is removing 100% of the problem realistic? · ","")&amp;IF(AND(P12="Gut feeling",ISNUMBER(V12)),IF(V12=MAX($V$6:$V$30),"Your biggest line rests on a gut feeling — can you measure it? · ","A gut feeling — what would it take to measure it? · "),"")&amp;IF(AND(P12="Qualified estimate",ISNUMBER(V12)),IF(V12=MAX($V$6:$V$30),"Your biggest line is an estimate — can you count it in your systems? · ",""),"")&amp;IF(Q12="No","How does the time saved turn into money? · ","")&amp;IF(AND(ISNUMBER(U12),N(U12)&gt;5000),"Check the cost: is it really per occurrence? · ","")&amp;IF(AND(ISNUMBER(I12),N(I12)&gt;100000),"Check the count: is it really per year? · ","")&amp;IF(R12="Yes","Merge or remove the overlap before the CFO sees it. · ",""))</f>
        <v/>
      </c>
      <c r="AF12" s="0" t="str">
        <f aca="false">IF(ISNUMBER(X12),X12+ROW()/1000000,"")</f>
        <v/>
      </c>
    </row>
    <row r="13" customFormat="false" ht="48" hidden="false" customHeight="true" outlineLevel="0" collapsed="false">
      <c r="A13" s="103" t="s">
        <v>208</v>
      </c>
      <c r="B13" s="69"/>
      <c r="C13" s="69"/>
      <c r="D13" s="104" t="str">
        <f aca="false">IF(AD13="","",INDEX(Library!$F$5:$F$169,AD13))</f>
        <v/>
      </c>
      <c r="E13" s="104" t="str">
        <f aca="false">IF(AD13="","",TRIM(IF(INDEX(Library!$G$5:$G$169,AD13)="Yes","SEE ","")&amp;IF(INDEX(Library!$H$5:$H$169,AD13)="Yes","STEER ","")&amp;IF(INDEX(Library!$I$5:$I$169,AD13)="Yes","KEEP","")))</f>
        <v/>
      </c>
      <c r="F13" s="105" t="str">
        <f aca="false">IF(AD13="","",INDEX(Library!$J$5:$J$169,AD13)&amp;IF(INDEX(Library!$K$5:$K$169,AD13)="","",CHAR(10)&amp;"Count: "&amp;INDEX(Library!$K$5:$K$169,AD13)))</f>
        <v/>
      </c>
      <c r="G13" s="69"/>
      <c r="H13" s="69"/>
      <c r="I13" s="106"/>
      <c r="J13" s="69"/>
      <c r="K13" s="106"/>
      <c r="L13" s="106"/>
      <c r="M13" s="106"/>
      <c r="N13" s="69"/>
      <c r="O13" s="107"/>
      <c r="P13" s="69"/>
      <c r="Q13" s="69"/>
      <c r="R13" s="69"/>
      <c r="S13" s="69"/>
      <c r="T13" s="69"/>
      <c r="U13" s="108" t="str">
        <f aca="false">IF(K13&lt;&gt;"",K13,IF(AND(L13&lt;&gt;"",M13&lt;&gt;""),L13/60*M13,""))</f>
        <v/>
      </c>
      <c r="V13" s="109" t="str">
        <f aca="false">IF(OR(I13="",U13="",O13=""),"",I13*U13*O13)</f>
        <v/>
      </c>
      <c r="W13" s="110" t="str">
        <f aca="false">IF(P13="","",IFERROR(INDEX('CFO Appendix'!$B$6:$B$8,MATCH(P13,'CFO Appendix'!$A$6:$A$8,0)),""))</f>
        <v/>
      </c>
      <c r="X13" s="109" t="str">
        <f aca="false">IF(OR(V13="",W13=""),"",V13*W13)</f>
        <v/>
      </c>
      <c r="Y13" s="111" t="str">
        <f aca="false">IF(AND(B13="",C13=""),"",IF(C13="","Choose a capability",IF(AD13="","Capability not in this domain",IF(COUNTIFS($B$6:$B$30,B13,$C$6:$C$30,C13)&gt;1,"Chosen twice",IF(AC13="","Complete","Missing: "&amp;LEFT(AC13,LEN(AC13)-2))))))</f>
        <v/>
      </c>
      <c r="Z13" s="112" t="str">
        <f aca="false">IF(V13="","",IF(AND(P13="Measured in our systems",Q13="Yes"),"A",IF(P13="Gut feeling","C","B")))</f>
        <v/>
      </c>
      <c r="AA13" s="111" t="str">
        <f aca="false">IF(Y13&lt;&gt;"Complete","","We remove "&amp;FIXED(O13*100,0)&amp;"% of "&amp;FIXED(I13,0)&amp;" "&amp;H13&amp;" a year — worth €"&amp;FIXED(V13,0)&amp;" a year. The number is "&amp;IF(P13="Measured in our systems","measured",IF(P13="Qualified estimate","a qualified estimate","a gut feeling"))&amp;" ("&amp;J13&amp;"). Owner: "&amp;T13&amp;".")</f>
        <v/>
      </c>
      <c r="AB13" s="113" t="str">
        <f aca="false">IF(C13="","",IF(AE13="",IF(Z13="A","Solid — measured and on the bottom line. Be ready to show the source.","Be ready to show where the numbers come from."),LEFT(AE13,LEN(AE13)-3)))</f>
        <v/>
      </c>
      <c r="AC13" s="0" t="str">
        <f aca="false">IF(G13="","problem, ","")&amp;IF(H13="","what we count, ","")&amp;IF(I13="","times per year, ","")&amp;IF(J13="","source of times, ","")&amp;IF(U13="","cost each time, ","")&amp;IF(N13="","source of cost, ","")&amp;IF(O13="","share removed, ","")&amp;IF(P13="","how sure, ","")&amp;IF(Q13="","bottom line, ","")&amp;IF(R13="","shared benefit, ","")&amp;IF(AND(R13="Yes",S13=""),"which line, ","")&amp;IF(T13="","Benefit Owner, ","")</f>
        <v>problem, what we count, times per year, source of times, cost each time, source of cost, share removed, how sure, bottom line, shared benefit, Benefit Owner, </v>
      </c>
      <c r="AD13" s="0" t="str">
        <f aca="true">IF(OR(B13="",C13=""),"",IFERROR(MATCH(B13,Library!$D$5:$D$169,0)+MATCH(C13,OFFSET(Library!$E$5,MATCH(B13,Library!$D$5:$D$169,0)-1,0,COUNTIF(Library!$D$5:$D$169,B13),1),0)-1,""))</f>
        <v/>
      </c>
      <c r="AE13" s="0" t="str">
        <f aca="false">IF(C13="","",IF(O13=1,"Is removing 100% of the problem realistic? · ","")&amp;IF(AND(P13="Gut feeling",ISNUMBER(V13)),IF(V13=MAX($V$6:$V$30),"Your biggest line rests on a gut feeling — can you measure it? · ","A gut feeling — what would it take to measure it? · "),"")&amp;IF(AND(P13="Qualified estimate",ISNUMBER(V13)),IF(V13=MAX($V$6:$V$30),"Your biggest line is an estimate — can you count it in your systems? · ",""),"")&amp;IF(Q13="No","How does the time saved turn into money? · ","")&amp;IF(AND(ISNUMBER(U13),N(U13)&gt;5000),"Check the cost: is it really per occurrence? · ","")&amp;IF(AND(ISNUMBER(I13),N(I13)&gt;100000),"Check the count: is it really per year? · ","")&amp;IF(R13="Yes","Merge or remove the overlap before the CFO sees it. · ",""))</f>
        <v/>
      </c>
      <c r="AF13" s="0" t="str">
        <f aca="false">IF(ISNUMBER(X13),X13+ROW()/1000000,"")</f>
        <v/>
      </c>
    </row>
    <row r="14" customFormat="false" ht="48" hidden="false" customHeight="true" outlineLevel="0" collapsed="false">
      <c r="A14" s="103" t="s">
        <v>209</v>
      </c>
      <c r="B14" s="69"/>
      <c r="C14" s="69"/>
      <c r="D14" s="104" t="str">
        <f aca="false">IF(AD14="","",INDEX(Library!$F$5:$F$169,AD14))</f>
        <v/>
      </c>
      <c r="E14" s="104" t="str">
        <f aca="false">IF(AD14="","",TRIM(IF(INDEX(Library!$G$5:$G$169,AD14)="Yes","SEE ","")&amp;IF(INDEX(Library!$H$5:$H$169,AD14)="Yes","STEER ","")&amp;IF(INDEX(Library!$I$5:$I$169,AD14)="Yes","KEEP","")))</f>
        <v/>
      </c>
      <c r="F14" s="105" t="str">
        <f aca="false">IF(AD14="","",INDEX(Library!$J$5:$J$169,AD14)&amp;IF(INDEX(Library!$K$5:$K$169,AD14)="","",CHAR(10)&amp;"Count: "&amp;INDEX(Library!$K$5:$K$169,AD14)))</f>
        <v/>
      </c>
      <c r="G14" s="69"/>
      <c r="H14" s="69"/>
      <c r="I14" s="106"/>
      <c r="J14" s="69"/>
      <c r="K14" s="106"/>
      <c r="L14" s="106"/>
      <c r="M14" s="106"/>
      <c r="N14" s="69"/>
      <c r="O14" s="107"/>
      <c r="P14" s="69"/>
      <c r="Q14" s="69"/>
      <c r="R14" s="69"/>
      <c r="S14" s="69"/>
      <c r="T14" s="69"/>
      <c r="U14" s="108" t="str">
        <f aca="false">IF(K14&lt;&gt;"",K14,IF(AND(L14&lt;&gt;"",M14&lt;&gt;""),L14/60*M14,""))</f>
        <v/>
      </c>
      <c r="V14" s="109" t="str">
        <f aca="false">IF(OR(I14="",U14="",O14=""),"",I14*U14*O14)</f>
        <v/>
      </c>
      <c r="W14" s="110" t="str">
        <f aca="false">IF(P14="","",IFERROR(INDEX('CFO Appendix'!$B$6:$B$8,MATCH(P14,'CFO Appendix'!$A$6:$A$8,0)),""))</f>
        <v/>
      </c>
      <c r="X14" s="109" t="str">
        <f aca="false">IF(OR(V14="",W14=""),"",V14*W14)</f>
        <v/>
      </c>
      <c r="Y14" s="111" t="str">
        <f aca="false">IF(AND(B14="",C14=""),"",IF(C14="","Choose a capability",IF(AD14="","Capability not in this domain",IF(COUNTIFS($B$6:$B$30,B14,$C$6:$C$30,C14)&gt;1,"Chosen twice",IF(AC14="","Complete","Missing: "&amp;LEFT(AC14,LEN(AC14)-2))))))</f>
        <v/>
      </c>
      <c r="Z14" s="112" t="str">
        <f aca="false">IF(V14="","",IF(AND(P14="Measured in our systems",Q14="Yes"),"A",IF(P14="Gut feeling","C","B")))</f>
        <v/>
      </c>
      <c r="AA14" s="111" t="str">
        <f aca="false">IF(Y14&lt;&gt;"Complete","","We remove "&amp;FIXED(O14*100,0)&amp;"% of "&amp;FIXED(I14,0)&amp;" "&amp;H14&amp;" a year — worth €"&amp;FIXED(V14,0)&amp;" a year. The number is "&amp;IF(P14="Measured in our systems","measured",IF(P14="Qualified estimate","a qualified estimate","a gut feeling"))&amp;" ("&amp;J14&amp;"). Owner: "&amp;T14&amp;".")</f>
        <v/>
      </c>
      <c r="AB14" s="113" t="str">
        <f aca="false">IF(C14="","",IF(AE14="",IF(Z14="A","Solid — measured and on the bottom line. Be ready to show the source.","Be ready to show where the numbers come from."),LEFT(AE14,LEN(AE14)-3)))</f>
        <v/>
      </c>
      <c r="AC14" s="0" t="str">
        <f aca="false">IF(G14="","problem, ","")&amp;IF(H14="","what we count, ","")&amp;IF(I14="","times per year, ","")&amp;IF(J14="","source of times, ","")&amp;IF(U14="","cost each time, ","")&amp;IF(N14="","source of cost, ","")&amp;IF(O14="","share removed, ","")&amp;IF(P14="","how sure, ","")&amp;IF(Q14="","bottom line, ","")&amp;IF(R14="","shared benefit, ","")&amp;IF(AND(R14="Yes",S14=""),"which line, ","")&amp;IF(T14="","Benefit Owner, ","")</f>
        <v>problem, what we count, times per year, source of times, cost each time, source of cost, share removed, how sure, bottom line, shared benefit, Benefit Owner, </v>
      </c>
      <c r="AD14" s="0" t="str">
        <f aca="true">IF(OR(B14="",C14=""),"",IFERROR(MATCH(B14,Library!$D$5:$D$169,0)+MATCH(C14,OFFSET(Library!$E$5,MATCH(B14,Library!$D$5:$D$169,0)-1,0,COUNTIF(Library!$D$5:$D$169,B14),1),0)-1,""))</f>
        <v/>
      </c>
      <c r="AE14" s="0" t="str">
        <f aca="false">IF(C14="","",IF(O14=1,"Is removing 100% of the problem realistic? · ","")&amp;IF(AND(P14="Gut feeling",ISNUMBER(V14)),IF(V14=MAX($V$6:$V$30),"Your biggest line rests on a gut feeling — can you measure it? · ","A gut feeling — what would it take to measure it? · "),"")&amp;IF(AND(P14="Qualified estimate",ISNUMBER(V14)),IF(V14=MAX($V$6:$V$30),"Your biggest line is an estimate — can you count it in your systems? · ",""),"")&amp;IF(Q14="No","How does the time saved turn into money? · ","")&amp;IF(AND(ISNUMBER(U14),N(U14)&gt;5000),"Check the cost: is it really per occurrence? · ","")&amp;IF(AND(ISNUMBER(I14),N(I14)&gt;100000),"Check the count: is it really per year? · ","")&amp;IF(R14="Yes","Merge or remove the overlap before the CFO sees it. · ",""))</f>
        <v/>
      </c>
      <c r="AF14" s="0" t="str">
        <f aca="false">IF(ISNUMBER(X14),X14+ROW()/1000000,"")</f>
        <v/>
      </c>
    </row>
    <row r="15" customFormat="false" ht="48" hidden="false" customHeight="true" outlineLevel="0" collapsed="false">
      <c r="A15" s="103" t="s">
        <v>210</v>
      </c>
      <c r="B15" s="69"/>
      <c r="C15" s="69"/>
      <c r="D15" s="104" t="str">
        <f aca="false">IF(AD15="","",INDEX(Library!$F$5:$F$169,AD15))</f>
        <v/>
      </c>
      <c r="E15" s="104" t="str">
        <f aca="false">IF(AD15="","",TRIM(IF(INDEX(Library!$G$5:$G$169,AD15)="Yes","SEE ","")&amp;IF(INDEX(Library!$H$5:$H$169,AD15)="Yes","STEER ","")&amp;IF(INDEX(Library!$I$5:$I$169,AD15)="Yes","KEEP","")))</f>
        <v/>
      </c>
      <c r="F15" s="105" t="str">
        <f aca="false">IF(AD15="","",INDEX(Library!$J$5:$J$169,AD15)&amp;IF(INDEX(Library!$K$5:$K$169,AD15)="","",CHAR(10)&amp;"Count: "&amp;INDEX(Library!$K$5:$K$169,AD15)))</f>
        <v/>
      </c>
      <c r="G15" s="69"/>
      <c r="H15" s="69"/>
      <c r="I15" s="106"/>
      <c r="J15" s="69"/>
      <c r="K15" s="106"/>
      <c r="L15" s="106"/>
      <c r="M15" s="106"/>
      <c r="N15" s="69"/>
      <c r="O15" s="107"/>
      <c r="P15" s="69"/>
      <c r="Q15" s="69"/>
      <c r="R15" s="69"/>
      <c r="S15" s="69"/>
      <c r="T15" s="69"/>
      <c r="U15" s="108" t="str">
        <f aca="false">IF(K15&lt;&gt;"",K15,IF(AND(L15&lt;&gt;"",M15&lt;&gt;""),L15/60*M15,""))</f>
        <v/>
      </c>
      <c r="V15" s="109" t="str">
        <f aca="false">IF(OR(I15="",U15="",O15=""),"",I15*U15*O15)</f>
        <v/>
      </c>
      <c r="W15" s="110" t="str">
        <f aca="false">IF(P15="","",IFERROR(INDEX('CFO Appendix'!$B$6:$B$8,MATCH(P15,'CFO Appendix'!$A$6:$A$8,0)),""))</f>
        <v/>
      </c>
      <c r="X15" s="109" t="str">
        <f aca="false">IF(OR(V15="",W15=""),"",V15*W15)</f>
        <v/>
      </c>
      <c r="Y15" s="111" t="str">
        <f aca="false">IF(AND(B15="",C15=""),"",IF(C15="","Choose a capability",IF(AD15="","Capability not in this domain",IF(COUNTIFS($B$6:$B$30,B15,$C$6:$C$30,C15)&gt;1,"Chosen twice",IF(AC15="","Complete","Missing: "&amp;LEFT(AC15,LEN(AC15)-2))))))</f>
        <v/>
      </c>
      <c r="Z15" s="112" t="str">
        <f aca="false">IF(V15="","",IF(AND(P15="Measured in our systems",Q15="Yes"),"A",IF(P15="Gut feeling","C","B")))</f>
        <v/>
      </c>
      <c r="AA15" s="111" t="str">
        <f aca="false">IF(Y15&lt;&gt;"Complete","","We remove "&amp;FIXED(O15*100,0)&amp;"% of "&amp;FIXED(I15,0)&amp;" "&amp;H15&amp;" a year — worth €"&amp;FIXED(V15,0)&amp;" a year. The number is "&amp;IF(P15="Measured in our systems","measured",IF(P15="Qualified estimate","a qualified estimate","a gut feeling"))&amp;" ("&amp;J15&amp;"). Owner: "&amp;T15&amp;".")</f>
        <v/>
      </c>
      <c r="AB15" s="113" t="str">
        <f aca="false">IF(C15="","",IF(AE15="",IF(Z15="A","Solid — measured and on the bottom line. Be ready to show the source.","Be ready to show where the numbers come from."),LEFT(AE15,LEN(AE15)-3)))</f>
        <v/>
      </c>
      <c r="AC15" s="0" t="str">
        <f aca="false">IF(G15="","problem, ","")&amp;IF(H15="","what we count, ","")&amp;IF(I15="","times per year, ","")&amp;IF(J15="","source of times, ","")&amp;IF(U15="","cost each time, ","")&amp;IF(N15="","source of cost, ","")&amp;IF(O15="","share removed, ","")&amp;IF(P15="","how sure, ","")&amp;IF(Q15="","bottom line, ","")&amp;IF(R15="","shared benefit, ","")&amp;IF(AND(R15="Yes",S15=""),"which line, ","")&amp;IF(T15="","Benefit Owner, ","")</f>
        <v>problem, what we count, times per year, source of times, cost each time, source of cost, share removed, how sure, bottom line, shared benefit, Benefit Owner, </v>
      </c>
      <c r="AD15" s="0" t="str">
        <f aca="true">IF(OR(B15="",C15=""),"",IFERROR(MATCH(B15,Library!$D$5:$D$169,0)+MATCH(C15,OFFSET(Library!$E$5,MATCH(B15,Library!$D$5:$D$169,0)-1,0,COUNTIF(Library!$D$5:$D$169,B15),1),0)-1,""))</f>
        <v/>
      </c>
      <c r="AE15" s="0" t="str">
        <f aca="false">IF(C15="","",IF(O15=1,"Is removing 100% of the problem realistic? · ","")&amp;IF(AND(P15="Gut feeling",ISNUMBER(V15)),IF(V15=MAX($V$6:$V$30),"Your biggest line rests on a gut feeling — can you measure it? · ","A gut feeling — what would it take to measure it? · "),"")&amp;IF(AND(P15="Qualified estimate",ISNUMBER(V15)),IF(V15=MAX($V$6:$V$30),"Your biggest line is an estimate — can you count it in your systems? · ",""),"")&amp;IF(Q15="No","How does the time saved turn into money? · ","")&amp;IF(AND(ISNUMBER(U15),N(U15)&gt;5000),"Check the cost: is it really per occurrence? · ","")&amp;IF(AND(ISNUMBER(I15),N(I15)&gt;100000),"Check the count: is it really per year? · ","")&amp;IF(R15="Yes","Merge or remove the overlap before the CFO sees it. · ",""))</f>
        <v/>
      </c>
      <c r="AF15" s="0" t="str">
        <f aca="false">IF(ISNUMBER(X15),X15+ROW()/1000000,"")</f>
        <v/>
      </c>
    </row>
    <row r="16" customFormat="false" ht="48" hidden="false" customHeight="true" outlineLevel="0" collapsed="false">
      <c r="A16" s="103" t="s">
        <v>211</v>
      </c>
      <c r="B16" s="69"/>
      <c r="C16" s="69"/>
      <c r="D16" s="104" t="str">
        <f aca="false">IF(AD16="","",INDEX(Library!$F$5:$F$169,AD16))</f>
        <v/>
      </c>
      <c r="E16" s="104" t="str">
        <f aca="false">IF(AD16="","",TRIM(IF(INDEX(Library!$G$5:$G$169,AD16)="Yes","SEE ","")&amp;IF(INDEX(Library!$H$5:$H$169,AD16)="Yes","STEER ","")&amp;IF(INDEX(Library!$I$5:$I$169,AD16)="Yes","KEEP","")))</f>
        <v/>
      </c>
      <c r="F16" s="105" t="str">
        <f aca="false">IF(AD16="","",INDEX(Library!$J$5:$J$169,AD16)&amp;IF(INDEX(Library!$K$5:$K$169,AD16)="","",CHAR(10)&amp;"Count: "&amp;INDEX(Library!$K$5:$K$169,AD16)))</f>
        <v/>
      </c>
      <c r="G16" s="69"/>
      <c r="H16" s="69"/>
      <c r="I16" s="106"/>
      <c r="J16" s="69"/>
      <c r="K16" s="106"/>
      <c r="L16" s="106"/>
      <c r="M16" s="106"/>
      <c r="N16" s="69"/>
      <c r="O16" s="107"/>
      <c r="P16" s="69"/>
      <c r="Q16" s="69"/>
      <c r="R16" s="69"/>
      <c r="S16" s="69"/>
      <c r="T16" s="69"/>
      <c r="U16" s="108" t="str">
        <f aca="false">IF(K16&lt;&gt;"",K16,IF(AND(L16&lt;&gt;"",M16&lt;&gt;""),L16/60*M16,""))</f>
        <v/>
      </c>
      <c r="V16" s="109" t="str">
        <f aca="false">IF(OR(I16="",U16="",O16=""),"",I16*U16*O16)</f>
        <v/>
      </c>
      <c r="W16" s="110" t="str">
        <f aca="false">IF(P16="","",IFERROR(INDEX('CFO Appendix'!$B$6:$B$8,MATCH(P16,'CFO Appendix'!$A$6:$A$8,0)),""))</f>
        <v/>
      </c>
      <c r="X16" s="109" t="str">
        <f aca="false">IF(OR(V16="",W16=""),"",V16*W16)</f>
        <v/>
      </c>
      <c r="Y16" s="111" t="str">
        <f aca="false">IF(AND(B16="",C16=""),"",IF(C16="","Choose a capability",IF(AD16="","Capability not in this domain",IF(COUNTIFS($B$6:$B$30,B16,$C$6:$C$30,C16)&gt;1,"Chosen twice",IF(AC16="","Complete","Missing: "&amp;LEFT(AC16,LEN(AC16)-2))))))</f>
        <v/>
      </c>
      <c r="Z16" s="112" t="str">
        <f aca="false">IF(V16="","",IF(AND(P16="Measured in our systems",Q16="Yes"),"A",IF(P16="Gut feeling","C","B")))</f>
        <v/>
      </c>
      <c r="AA16" s="111" t="str">
        <f aca="false">IF(Y16&lt;&gt;"Complete","","We remove "&amp;FIXED(O16*100,0)&amp;"% of "&amp;FIXED(I16,0)&amp;" "&amp;H16&amp;" a year — worth €"&amp;FIXED(V16,0)&amp;" a year. The number is "&amp;IF(P16="Measured in our systems","measured",IF(P16="Qualified estimate","a qualified estimate","a gut feeling"))&amp;" ("&amp;J16&amp;"). Owner: "&amp;T16&amp;".")</f>
        <v/>
      </c>
      <c r="AB16" s="113" t="str">
        <f aca="false">IF(C16="","",IF(AE16="",IF(Z16="A","Solid — measured and on the bottom line. Be ready to show the source.","Be ready to show where the numbers come from."),LEFT(AE16,LEN(AE16)-3)))</f>
        <v/>
      </c>
      <c r="AC16" s="0" t="str">
        <f aca="false">IF(G16="","problem, ","")&amp;IF(H16="","what we count, ","")&amp;IF(I16="","times per year, ","")&amp;IF(J16="","source of times, ","")&amp;IF(U16="","cost each time, ","")&amp;IF(N16="","source of cost, ","")&amp;IF(O16="","share removed, ","")&amp;IF(P16="","how sure, ","")&amp;IF(Q16="","bottom line, ","")&amp;IF(R16="","shared benefit, ","")&amp;IF(AND(R16="Yes",S16=""),"which line, ","")&amp;IF(T16="","Benefit Owner, ","")</f>
        <v>problem, what we count, times per year, source of times, cost each time, source of cost, share removed, how sure, bottom line, shared benefit, Benefit Owner, </v>
      </c>
      <c r="AD16" s="0" t="str">
        <f aca="true">IF(OR(B16="",C16=""),"",IFERROR(MATCH(B16,Library!$D$5:$D$169,0)+MATCH(C16,OFFSET(Library!$E$5,MATCH(B16,Library!$D$5:$D$169,0)-1,0,COUNTIF(Library!$D$5:$D$169,B16),1),0)-1,""))</f>
        <v/>
      </c>
      <c r="AE16" s="0" t="str">
        <f aca="false">IF(C16="","",IF(O16=1,"Is removing 100% of the problem realistic? · ","")&amp;IF(AND(P16="Gut feeling",ISNUMBER(V16)),IF(V16=MAX($V$6:$V$30),"Your biggest line rests on a gut feeling — can you measure it? · ","A gut feeling — what would it take to measure it? · "),"")&amp;IF(AND(P16="Qualified estimate",ISNUMBER(V16)),IF(V16=MAX($V$6:$V$30),"Your biggest line is an estimate — can you count it in your systems? · ",""),"")&amp;IF(Q16="No","How does the time saved turn into money? · ","")&amp;IF(AND(ISNUMBER(U16),N(U16)&gt;5000),"Check the cost: is it really per occurrence? · ","")&amp;IF(AND(ISNUMBER(I16),N(I16)&gt;100000),"Check the count: is it really per year? · ","")&amp;IF(R16="Yes","Merge or remove the overlap before the CFO sees it. · ",""))</f>
        <v/>
      </c>
      <c r="AF16" s="0" t="str">
        <f aca="false">IF(ISNUMBER(X16),X16+ROW()/1000000,"")</f>
        <v/>
      </c>
    </row>
    <row r="17" customFormat="false" ht="48" hidden="false" customHeight="true" outlineLevel="0" collapsed="false">
      <c r="A17" s="103" t="s">
        <v>212</v>
      </c>
      <c r="B17" s="69"/>
      <c r="C17" s="69"/>
      <c r="D17" s="104" t="str">
        <f aca="false">IF(AD17="","",INDEX(Library!$F$5:$F$169,AD17))</f>
        <v/>
      </c>
      <c r="E17" s="104" t="str">
        <f aca="false">IF(AD17="","",TRIM(IF(INDEX(Library!$G$5:$G$169,AD17)="Yes","SEE ","")&amp;IF(INDEX(Library!$H$5:$H$169,AD17)="Yes","STEER ","")&amp;IF(INDEX(Library!$I$5:$I$169,AD17)="Yes","KEEP","")))</f>
        <v/>
      </c>
      <c r="F17" s="105" t="str">
        <f aca="false">IF(AD17="","",INDEX(Library!$J$5:$J$169,AD17)&amp;IF(INDEX(Library!$K$5:$K$169,AD17)="","",CHAR(10)&amp;"Count: "&amp;INDEX(Library!$K$5:$K$169,AD17)))</f>
        <v/>
      </c>
      <c r="G17" s="69"/>
      <c r="H17" s="69"/>
      <c r="I17" s="106"/>
      <c r="J17" s="69"/>
      <c r="K17" s="106"/>
      <c r="L17" s="106"/>
      <c r="M17" s="106"/>
      <c r="N17" s="69"/>
      <c r="O17" s="107"/>
      <c r="P17" s="69"/>
      <c r="Q17" s="69"/>
      <c r="R17" s="69"/>
      <c r="S17" s="69"/>
      <c r="T17" s="69"/>
      <c r="U17" s="108" t="str">
        <f aca="false">IF(K17&lt;&gt;"",K17,IF(AND(L17&lt;&gt;"",M17&lt;&gt;""),L17/60*M17,""))</f>
        <v/>
      </c>
      <c r="V17" s="109" t="str">
        <f aca="false">IF(OR(I17="",U17="",O17=""),"",I17*U17*O17)</f>
        <v/>
      </c>
      <c r="W17" s="110" t="str">
        <f aca="false">IF(P17="","",IFERROR(INDEX('CFO Appendix'!$B$6:$B$8,MATCH(P17,'CFO Appendix'!$A$6:$A$8,0)),""))</f>
        <v/>
      </c>
      <c r="X17" s="109" t="str">
        <f aca="false">IF(OR(V17="",W17=""),"",V17*W17)</f>
        <v/>
      </c>
      <c r="Y17" s="111" t="str">
        <f aca="false">IF(AND(B17="",C17=""),"",IF(C17="","Choose a capability",IF(AD17="","Capability not in this domain",IF(COUNTIFS($B$6:$B$30,B17,$C$6:$C$30,C17)&gt;1,"Chosen twice",IF(AC17="","Complete","Missing: "&amp;LEFT(AC17,LEN(AC17)-2))))))</f>
        <v/>
      </c>
      <c r="Z17" s="112" t="str">
        <f aca="false">IF(V17="","",IF(AND(P17="Measured in our systems",Q17="Yes"),"A",IF(P17="Gut feeling","C","B")))</f>
        <v/>
      </c>
      <c r="AA17" s="111" t="str">
        <f aca="false">IF(Y17&lt;&gt;"Complete","","We remove "&amp;FIXED(O17*100,0)&amp;"% of "&amp;FIXED(I17,0)&amp;" "&amp;H17&amp;" a year — worth €"&amp;FIXED(V17,0)&amp;" a year. The number is "&amp;IF(P17="Measured in our systems","measured",IF(P17="Qualified estimate","a qualified estimate","a gut feeling"))&amp;" ("&amp;J17&amp;"). Owner: "&amp;T17&amp;".")</f>
        <v/>
      </c>
      <c r="AB17" s="113" t="str">
        <f aca="false">IF(C17="","",IF(AE17="",IF(Z17="A","Solid — measured and on the bottom line. Be ready to show the source.","Be ready to show where the numbers come from."),LEFT(AE17,LEN(AE17)-3)))</f>
        <v/>
      </c>
      <c r="AC17" s="0" t="str">
        <f aca="false">IF(G17="","problem, ","")&amp;IF(H17="","what we count, ","")&amp;IF(I17="","times per year, ","")&amp;IF(J17="","source of times, ","")&amp;IF(U17="","cost each time, ","")&amp;IF(N17="","source of cost, ","")&amp;IF(O17="","share removed, ","")&amp;IF(P17="","how sure, ","")&amp;IF(Q17="","bottom line, ","")&amp;IF(R17="","shared benefit, ","")&amp;IF(AND(R17="Yes",S17=""),"which line, ","")&amp;IF(T17="","Benefit Owner, ","")</f>
        <v>problem, what we count, times per year, source of times, cost each time, source of cost, share removed, how sure, bottom line, shared benefit, Benefit Owner, </v>
      </c>
      <c r="AD17" s="0" t="str">
        <f aca="true">IF(OR(B17="",C17=""),"",IFERROR(MATCH(B17,Library!$D$5:$D$169,0)+MATCH(C17,OFFSET(Library!$E$5,MATCH(B17,Library!$D$5:$D$169,0)-1,0,COUNTIF(Library!$D$5:$D$169,B17),1),0)-1,""))</f>
        <v/>
      </c>
      <c r="AE17" s="0" t="str">
        <f aca="false">IF(C17="","",IF(O17=1,"Is removing 100% of the problem realistic? · ","")&amp;IF(AND(P17="Gut feeling",ISNUMBER(V17)),IF(V17=MAX($V$6:$V$30),"Your biggest line rests on a gut feeling — can you measure it? · ","A gut feeling — what would it take to measure it? · "),"")&amp;IF(AND(P17="Qualified estimate",ISNUMBER(V17)),IF(V17=MAX($V$6:$V$30),"Your biggest line is an estimate — can you count it in your systems? · ",""),"")&amp;IF(Q17="No","How does the time saved turn into money? · ","")&amp;IF(AND(ISNUMBER(U17),N(U17)&gt;5000),"Check the cost: is it really per occurrence? · ","")&amp;IF(AND(ISNUMBER(I17),N(I17)&gt;100000),"Check the count: is it really per year? · ","")&amp;IF(R17="Yes","Merge or remove the overlap before the CFO sees it. · ",""))</f>
        <v/>
      </c>
      <c r="AF17" s="0" t="str">
        <f aca="false">IF(ISNUMBER(X17),X17+ROW()/1000000,"")</f>
        <v/>
      </c>
    </row>
    <row r="18" customFormat="false" ht="48" hidden="false" customHeight="true" outlineLevel="0" collapsed="false">
      <c r="A18" s="103" t="s">
        <v>213</v>
      </c>
      <c r="B18" s="69"/>
      <c r="C18" s="69"/>
      <c r="D18" s="104" t="str">
        <f aca="false">IF(AD18="","",INDEX(Library!$F$5:$F$169,AD18))</f>
        <v/>
      </c>
      <c r="E18" s="104" t="str">
        <f aca="false">IF(AD18="","",TRIM(IF(INDEX(Library!$G$5:$G$169,AD18)="Yes","SEE ","")&amp;IF(INDEX(Library!$H$5:$H$169,AD18)="Yes","STEER ","")&amp;IF(INDEX(Library!$I$5:$I$169,AD18)="Yes","KEEP","")))</f>
        <v/>
      </c>
      <c r="F18" s="105" t="str">
        <f aca="false">IF(AD18="","",INDEX(Library!$J$5:$J$169,AD18)&amp;IF(INDEX(Library!$K$5:$K$169,AD18)="","",CHAR(10)&amp;"Count: "&amp;INDEX(Library!$K$5:$K$169,AD18)))</f>
        <v/>
      </c>
      <c r="G18" s="69"/>
      <c r="H18" s="69"/>
      <c r="I18" s="106"/>
      <c r="J18" s="69"/>
      <c r="K18" s="106"/>
      <c r="L18" s="106"/>
      <c r="M18" s="106"/>
      <c r="N18" s="69"/>
      <c r="O18" s="107"/>
      <c r="P18" s="69"/>
      <c r="Q18" s="69"/>
      <c r="R18" s="69"/>
      <c r="S18" s="69"/>
      <c r="T18" s="69"/>
      <c r="U18" s="108" t="str">
        <f aca="false">IF(K18&lt;&gt;"",K18,IF(AND(L18&lt;&gt;"",M18&lt;&gt;""),L18/60*M18,""))</f>
        <v/>
      </c>
      <c r="V18" s="109" t="str">
        <f aca="false">IF(OR(I18="",U18="",O18=""),"",I18*U18*O18)</f>
        <v/>
      </c>
      <c r="W18" s="110" t="str">
        <f aca="false">IF(P18="","",IFERROR(INDEX('CFO Appendix'!$B$6:$B$8,MATCH(P18,'CFO Appendix'!$A$6:$A$8,0)),""))</f>
        <v/>
      </c>
      <c r="X18" s="109" t="str">
        <f aca="false">IF(OR(V18="",W18=""),"",V18*W18)</f>
        <v/>
      </c>
      <c r="Y18" s="111" t="str">
        <f aca="false">IF(AND(B18="",C18=""),"",IF(C18="","Choose a capability",IF(AD18="","Capability not in this domain",IF(COUNTIFS($B$6:$B$30,B18,$C$6:$C$30,C18)&gt;1,"Chosen twice",IF(AC18="","Complete","Missing: "&amp;LEFT(AC18,LEN(AC18)-2))))))</f>
        <v/>
      </c>
      <c r="Z18" s="112" t="str">
        <f aca="false">IF(V18="","",IF(AND(P18="Measured in our systems",Q18="Yes"),"A",IF(P18="Gut feeling","C","B")))</f>
        <v/>
      </c>
      <c r="AA18" s="111" t="str">
        <f aca="false">IF(Y18&lt;&gt;"Complete","","We remove "&amp;FIXED(O18*100,0)&amp;"% of "&amp;FIXED(I18,0)&amp;" "&amp;H18&amp;" a year — worth €"&amp;FIXED(V18,0)&amp;" a year. The number is "&amp;IF(P18="Measured in our systems","measured",IF(P18="Qualified estimate","a qualified estimate","a gut feeling"))&amp;" ("&amp;J18&amp;"). Owner: "&amp;T18&amp;".")</f>
        <v/>
      </c>
      <c r="AB18" s="113" t="str">
        <f aca="false">IF(C18="","",IF(AE18="",IF(Z18="A","Solid — measured and on the bottom line. Be ready to show the source.","Be ready to show where the numbers come from."),LEFT(AE18,LEN(AE18)-3)))</f>
        <v/>
      </c>
      <c r="AC18" s="0" t="str">
        <f aca="false">IF(G18="","problem, ","")&amp;IF(H18="","what we count, ","")&amp;IF(I18="","times per year, ","")&amp;IF(J18="","source of times, ","")&amp;IF(U18="","cost each time, ","")&amp;IF(N18="","source of cost, ","")&amp;IF(O18="","share removed, ","")&amp;IF(P18="","how sure, ","")&amp;IF(Q18="","bottom line, ","")&amp;IF(R18="","shared benefit, ","")&amp;IF(AND(R18="Yes",S18=""),"which line, ","")&amp;IF(T18="","Benefit Owner, ","")</f>
        <v>problem, what we count, times per year, source of times, cost each time, source of cost, share removed, how sure, bottom line, shared benefit, Benefit Owner, </v>
      </c>
      <c r="AD18" s="0" t="str">
        <f aca="true">IF(OR(B18="",C18=""),"",IFERROR(MATCH(B18,Library!$D$5:$D$169,0)+MATCH(C18,OFFSET(Library!$E$5,MATCH(B18,Library!$D$5:$D$169,0)-1,0,COUNTIF(Library!$D$5:$D$169,B18),1),0)-1,""))</f>
        <v/>
      </c>
      <c r="AE18" s="0" t="str">
        <f aca="false">IF(C18="","",IF(O18=1,"Is removing 100% of the problem realistic? · ","")&amp;IF(AND(P18="Gut feeling",ISNUMBER(V18)),IF(V18=MAX($V$6:$V$30),"Your biggest line rests on a gut feeling — can you measure it? · ","A gut feeling — what would it take to measure it? · "),"")&amp;IF(AND(P18="Qualified estimate",ISNUMBER(V18)),IF(V18=MAX($V$6:$V$30),"Your biggest line is an estimate — can you count it in your systems? · ",""),"")&amp;IF(Q18="No","How does the time saved turn into money? · ","")&amp;IF(AND(ISNUMBER(U18),N(U18)&gt;5000),"Check the cost: is it really per occurrence? · ","")&amp;IF(AND(ISNUMBER(I18),N(I18)&gt;100000),"Check the count: is it really per year? · ","")&amp;IF(R18="Yes","Merge or remove the overlap before the CFO sees it. · ",""))</f>
        <v/>
      </c>
      <c r="AF18" s="0" t="str">
        <f aca="false">IF(ISNUMBER(X18),X18+ROW()/1000000,"")</f>
        <v/>
      </c>
    </row>
    <row r="19" customFormat="false" ht="48" hidden="false" customHeight="true" outlineLevel="0" collapsed="false">
      <c r="A19" s="103" t="s">
        <v>214</v>
      </c>
      <c r="B19" s="69"/>
      <c r="C19" s="69"/>
      <c r="D19" s="104" t="str">
        <f aca="false">IF(AD19="","",INDEX(Library!$F$5:$F$169,AD19))</f>
        <v/>
      </c>
      <c r="E19" s="104" t="str">
        <f aca="false">IF(AD19="","",TRIM(IF(INDEX(Library!$G$5:$G$169,AD19)="Yes","SEE ","")&amp;IF(INDEX(Library!$H$5:$H$169,AD19)="Yes","STEER ","")&amp;IF(INDEX(Library!$I$5:$I$169,AD19)="Yes","KEEP","")))</f>
        <v/>
      </c>
      <c r="F19" s="105" t="str">
        <f aca="false">IF(AD19="","",INDEX(Library!$J$5:$J$169,AD19)&amp;IF(INDEX(Library!$K$5:$K$169,AD19)="","",CHAR(10)&amp;"Count: "&amp;INDEX(Library!$K$5:$K$169,AD19)))</f>
        <v/>
      </c>
      <c r="G19" s="69"/>
      <c r="H19" s="69"/>
      <c r="I19" s="106"/>
      <c r="J19" s="69"/>
      <c r="K19" s="106"/>
      <c r="L19" s="106"/>
      <c r="M19" s="106"/>
      <c r="N19" s="69"/>
      <c r="O19" s="107"/>
      <c r="P19" s="69"/>
      <c r="Q19" s="69"/>
      <c r="R19" s="69"/>
      <c r="S19" s="69"/>
      <c r="T19" s="69"/>
      <c r="U19" s="108" t="str">
        <f aca="false">IF(K19&lt;&gt;"",K19,IF(AND(L19&lt;&gt;"",M19&lt;&gt;""),L19/60*M19,""))</f>
        <v/>
      </c>
      <c r="V19" s="109" t="str">
        <f aca="false">IF(OR(I19="",U19="",O19=""),"",I19*U19*O19)</f>
        <v/>
      </c>
      <c r="W19" s="110" t="str">
        <f aca="false">IF(P19="","",IFERROR(INDEX('CFO Appendix'!$B$6:$B$8,MATCH(P19,'CFO Appendix'!$A$6:$A$8,0)),""))</f>
        <v/>
      </c>
      <c r="X19" s="109" t="str">
        <f aca="false">IF(OR(V19="",W19=""),"",V19*W19)</f>
        <v/>
      </c>
      <c r="Y19" s="111" t="str">
        <f aca="false">IF(AND(B19="",C19=""),"",IF(C19="","Choose a capability",IF(AD19="","Capability not in this domain",IF(COUNTIFS($B$6:$B$30,B19,$C$6:$C$30,C19)&gt;1,"Chosen twice",IF(AC19="","Complete","Missing: "&amp;LEFT(AC19,LEN(AC19)-2))))))</f>
        <v/>
      </c>
      <c r="Z19" s="112" t="str">
        <f aca="false">IF(V19="","",IF(AND(P19="Measured in our systems",Q19="Yes"),"A",IF(P19="Gut feeling","C","B")))</f>
        <v/>
      </c>
      <c r="AA19" s="111" t="str">
        <f aca="false">IF(Y19&lt;&gt;"Complete","","We remove "&amp;FIXED(O19*100,0)&amp;"% of "&amp;FIXED(I19,0)&amp;" "&amp;H19&amp;" a year — worth €"&amp;FIXED(V19,0)&amp;" a year. The number is "&amp;IF(P19="Measured in our systems","measured",IF(P19="Qualified estimate","a qualified estimate","a gut feeling"))&amp;" ("&amp;J19&amp;"). Owner: "&amp;T19&amp;".")</f>
        <v/>
      </c>
      <c r="AB19" s="113" t="str">
        <f aca="false">IF(C19="","",IF(AE19="",IF(Z19="A","Solid — measured and on the bottom line. Be ready to show the source.","Be ready to show where the numbers come from."),LEFT(AE19,LEN(AE19)-3)))</f>
        <v/>
      </c>
      <c r="AC19" s="0" t="str">
        <f aca="false">IF(G19="","problem, ","")&amp;IF(H19="","what we count, ","")&amp;IF(I19="","times per year, ","")&amp;IF(J19="","source of times, ","")&amp;IF(U19="","cost each time, ","")&amp;IF(N19="","source of cost, ","")&amp;IF(O19="","share removed, ","")&amp;IF(P19="","how sure, ","")&amp;IF(Q19="","bottom line, ","")&amp;IF(R19="","shared benefit, ","")&amp;IF(AND(R19="Yes",S19=""),"which line, ","")&amp;IF(T19="","Benefit Owner, ","")</f>
        <v>problem, what we count, times per year, source of times, cost each time, source of cost, share removed, how sure, bottom line, shared benefit, Benefit Owner, </v>
      </c>
      <c r="AD19" s="0" t="str">
        <f aca="true">IF(OR(B19="",C19=""),"",IFERROR(MATCH(B19,Library!$D$5:$D$169,0)+MATCH(C19,OFFSET(Library!$E$5,MATCH(B19,Library!$D$5:$D$169,0)-1,0,COUNTIF(Library!$D$5:$D$169,B19),1),0)-1,""))</f>
        <v/>
      </c>
      <c r="AE19" s="0" t="str">
        <f aca="false">IF(C19="","",IF(O19=1,"Is removing 100% of the problem realistic? · ","")&amp;IF(AND(P19="Gut feeling",ISNUMBER(V19)),IF(V19=MAX($V$6:$V$30),"Your biggest line rests on a gut feeling — can you measure it? · ","A gut feeling — what would it take to measure it? · "),"")&amp;IF(AND(P19="Qualified estimate",ISNUMBER(V19)),IF(V19=MAX($V$6:$V$30),"Your biggest line is an estimate — can you count it in your systems? · ",""),"")&amp;IF(Q19="No","How does the time saved turn into money? · ","")&amp;IF(AND(ISNUMBER(U19),N(U19)&gt;5000),"Check the cost: is it really per occurrence? · ","")&amp;IF(AND(ISNUMBER(I19),N(I19)&gt;100000),"Check the count: is it really per year? · ","")&amp;IF(R19="Yes","Merge or remove the overlap before the CFO sees it. · ",""))</f>
        <v/>
      </c>
      <c r="AF19" s="0" t="str">
        <f aca="false">IF(ISNUMBER(X19),X19+ROW()/1000000,"")</f>
        <v/>
      </c>
    </row>
    <row r="20" customFormat="false" ht="48" hidden="false" customHeight="true" outlineLevel="0" collapsed="false">
      <c r="A20" s="103" t="s">
        <v>215</v>
      </c>
      <c r="B20" s="69"/>
      <c r="C20" s="69"/>
      <c r="D20" s="104" t="str">
        <f aca="false">IF(AD20="","",INDEX(Library!$F$5:$F$169,AD20))</f>
        <v/>
      </c>
      <c r="E20" s="104" t="str">
        <f aca="false">IF(AD20="","",TRIM(IF(INDEX(Library!$G$5:$G$169,AD20)="Yes","SEE ","")&amp;IF(INDEX(Library!$H$5:$H$169,AD20)="Yes","STEER ","")&amp;IF(INDEX(Library!$I$5:$I$169,AD20)="Yes","KEEP","")))</f>
        <v/>
      </c>
      <c r="F20" s="105" t="str">
        <f aca="false">IF(AD20="","",INDEX(Library!$J$5:$J$169,AD20)&amp;IF(INDEX(Library!$K$5:$K$169,AD20)="","",CHAR(10)&amp;"Count: "&amp;INDEX(Library!$K$5:$K$169,AD20)))</f>
        <v/>
      </c>
      <c r="G20" s="69"/>
      <c r="H20" s="69"/>
      <c r="I20" s="106"/>
      <c r="J20" s="69"/>
      <c r="K20" s="106"/>
      <c r="L20" s="106"/>
      <c r="M20" s="106"/>
      <c r="N20" s="69"/>
      <c r="O20" s="107"/>
      <c r="P20" s="69"/>
      <c r="Q20" s="69"/>
      <c r="R20" s="69"/>
      <c r="S20" s="69"/>
      <c r="T20" s="69"/>
      <c r="U20" s="108" t="str">
        <f aca="false">IF(K20&lt;&gt;"",K20,IF(AND(L20&lt;&gt;"",M20&lt;&gt;""),L20/60*M20,""))</f>
        <v/>
      </c>
      <c r="V20" s="109" t="str">
        <f aca="false">IF(OR(I20="",U20="",O20=""),"",I20*U20*O20)</f>
        <v/>
      </c>
      <c r="W20" s="110" t="str">
        <f aca="false">IF(P20="","",IFERROR(INDEX('CFO Appendix'!$B$6:$B$8,MATCH(P20,'CFO Appendix'!$A$6:$A$8,0)),""))</f>
        <v/>
      </c>
      <c r="X20" s="109" t="str">
        <f aca="false">IF(OR(V20="",W20=""),"",V20*W20)</f>
        <v/>
      </c>
      <c r="Y20" s="111" t="str">
        <f aca="false">IF(AND(B20="",C20=""),"",IF(C20="","Choose a capability",IF(AD20="","Capability not in this domain",IF(COUNTIFS($B$6:$B$30,B20,$C$6:$C$30,C20)&gt;1,"Chosen twice",IF(AC20="","Complete","Missing: "&amp;LEFT(AC20,LEN(AC20)-2))))))</f>
        <v/>
      </c>
      <c r="Z20" s="112" t="str">
        <f aca="false">IF(V20="","",IF(AND(P20="Measured in our systems",Q20="Yes"),"A",IF(P20="Gut feeling","C","B")))</f>
        <v/>
      </c>
      <c r="AA20" s="111" t="str">
        <f aca="false">IF(Y20&lt;&gt;"Complete","","We remove "&amp;FIXED(O20*100,0)&amp;"% of "&amp;FIXED(I20,0)&amp;" "&amp;H20&amp;" a year — worth €"&amp;FIXED(V20,0)&amp;" a year. The number is "&amp;IF(P20="Measured in our systems","measured",IF(P20="Qualified estimate","a qualified estimate","a gut feeling"))&amp;" ("&amp;J20&amp;"). Owner: "&amp;T20&amp;".")</f>
        <v/>
      </c>
      <c r="AB20" s="113" t="str">
        <f aca="false">IF(C20="","",IF(AE20="",IF(Z20="A","Solid — measured and on the bottom line. Be ready to show the source.","Be ready to show where the numbers come from."),LEFT(AE20,LEN(AE20)-3)))</f>
        <v/>
      </c>
      <c r="AC20" s="0" t="str">
        <f aca="false">IF(G20="","problem, ","")&amp;IF(H20="","what we count, ","")&amp;IF(I20="","times per year, ","")&amp;IF(J20="","source of times, ","")&amp;IF(U20="","cost each time, ","")&amp;IF(N20="","source of cost, ","")&amp;IF(O20="","share removed, ","")&amp;IF(P20="","how sure, ","")&amp;IF(Q20="","bottom line, ","")&amp;IF(R20="","shared benefit, ","")&amp;IF(AND(R20="Yes",S20=""),"which line, ","")&amp;IF(T20="","Benefit Owner, ","")</f>
        <v>problem, what we count, times per year, source of times, cost each time, source of cost, share removed, how sure, bottom line, shared benefit, Benefit Owner, </v>
      </c>
      <c r="AD20" s="0" t="str">
        <f aca="true">IF(OR(B20="",C20=""),"",IFERROR(MATCH(B20,Library!$D$5:$D$169,0)+MATCH(C20,OFFSET(Library!$E$5,MATCH(B20,Library!$D$5:$D$169,0)-1,0,COUNTIF(Library!$D$5:$D$169,B20),1),0)-1,""))</f>
        <v/>
      </c>
      <c r="AE20" s="0" t="str">
        <f aca="false">IF(C20="","",IF(O20=1,"Is removing 100% of the problem realistic? · ","")&amp;IF(AND(P20="Gut feeling",ISNUMBER(V20)),IF(V20=MAX($V$6:$V$30),"Your biggest line rests on a gut feeling — can you measure it? · ","A gut feeling — what would it take to measure it? · "),"")&amp;IF(AND(P20="Qualified estimate",ISNUMBER(V20)),IF(V20=MAX($V$6:$V$30),"Your biggest line is an estimate — can you count it in your systems? · ",""),"")&amp;IF(Q20="No","How does the time saved turn into money? · ","")&amp;IF(AND(ISNUMBER(U20),N(U20)&gt;5000),"Check the cost: is it really per occurrence? · ","")&amp;IF(AND(ISNUMBER(I20),N(I20)&gt;100000),"Check the count: is it really per year? · ","")&amp;IF(R20="Yes","Merge or remove the overlap before the CFO sees it. · ",""))</f>
        <v/>
      </c>
      <c r="AF20" s="0" t="str">
        <f aca="false">IF(ISNUMBER(X20),X20+ROW()/1000000,"")</f>
        <v/>
      </c>
    </row>
    <row r="21" customFormat="false" ht="48" hidden="false" customHeight="true" outlineLevel="0" collapsed="false">
      <c r="A21" s="103" t="s">
        <v>216</v>
      </c>
      <c r="B21" s="69"/>
      <c r="C21" s="69"/>
      <c r="D21" s="104" t="str">
        <f aca="false">IF(AD21="","",INDEX(Library!$F$5:$F$169,AD21))</f>
        <v/>
      </c>
      <c r="E21" s="104" t="str">
        <f aca="false">IF(AD21="","",TRIM(IF(INDEX(Library!$G$5:$G$169,AD21)="Yes","SEE ","")&amp;IF(INDEX(Library!$H$5:$H$169,AD21)="Yes","STEER ","")&amp;IF(INDEX(Library!$I$5:$I$169,AD21)="Yes","KEEP","")))</f>
        <v/>
      </c>
      <c r="F21" s="105" t="str">
        <f aca="false">IF(AD21="","",INDEX(Library!$J$5:$J$169,AD21)&amp;IF(INDEX(Library!$K$5:$K$169,AD21)="","",CHAR(10)&amp;"Count: "&amp;INDEX(Library!$K$5:$K$169,AD21)))</f>
        <v/>
      </c>
      <c r="G21" s="69"/>
      <c r="H21" s="69"/>
      <c r="I21" s="106"/>
      <c r="J21" s="69"/>
      <c r="K21" s="106"/>
      <c r="L21" s="106"/>
      <c r="M21" s="106"/>
      <c r="N21" s="69"/>
      <c r="O21" s="107"/>
      <c r="P21" s="69"/>
      <c r="Q21" s="69"/>
      <c r="R21" s="69"/>
      <c r="S21" s="69"/>
      <c r="T21" s="69"/>
      <c r="U21" s="108" t="str">
        <f aca="false">IF(K21&lt;&gt;"",K21,IF(AND(L21&lt;&gt;"",M21&lt;&gt;""),L21/60*M21,""))</f>
        <v/>
      </c>
      <c r="V21" s="109" t="str">
        <f aca="false">IF(OR(I21="",U21="",O21=""),"",I21*U21*O21)</f>
        <v/>
      </c>
      <c r="W21" s="110" t="str">
        <f aca="false">IF(P21="","",IFERROR(INDEX('CFO Appendix'!$B$6:$B$8,MATCH(P21,'CFO Appendix'!$A$6:$A$8,0)),""))</f>
        <v/>
      </c>
      <c r="X21" s="109" t="str">
        <f aca="false">IF(OR(V21="",W21=""),"",V21*W21)</f>
        <v/>
      </c>
      <c r="Y21" s="111" t="str">
        <f aca="false">IF(AND(B21="",C21=""),"",IF(C21="","Choose a capability",IF(AD21="","Capability not in this domain",IF(COUNTIFS($B$6:$B$30,B21,$C$6:$C$30,C21)&gt;1,"Chosen twice",IF(AC21="","Complete","Missing: "&amp;LEFT(AC21,LEN(AC21)-2))))))</f>
        <v/>
      </c>
      <c r="Z21" s="112" t="str">
        <f aca="false">IF(V21="","",IF(AND(P21="Measured in our systems",Q21="Yes"),"A",IF(P21="Gut feeling","C","B")))</f>
        <v/>
      </c>
      <c r="AA21" s="111" t="str">
        <f aca="false">IF(Y21&lt;&gt;"Complete","","We remove "&amp;FIXED(O21*100,0)&amp;"% of "&amp;FIXED(I21,0)&amp;" "&amp;H21&amp;" a year — worth €"&amp;FIXED(V21,0)&amp;" a year. The number is "&amp;IF(P21="Measured in our systems","measured",IF(P21="Qualified estimate","a qualified estimate","a gut feeling"))&amp;" ("&amp;J21&amp;"). Owner: "&amp;T21&amp;".")</f>
        <v/>
      </c>
      <c r="AB21" s="113" t="str">
        <f aca="false">IF(C21="","",IF(AE21="",IF(Z21="A","Solid — measured and on the bottom line. Be ready to show the source.","Be ready to show where the numbers come from."),LEFT(AE21,LEN(AE21)-3)))</f>
        <v/>
      </c>
      <c r="AC21" s="0" t="str">
        <f aca="false">IF(G21="","problem, ","")&amp;IF(H21="","what we count, ","")&amp;IF(I21="","times per year, ","")&amp;IF(J21="","source of times, ","")&amp;IF(U21="","cost each time, ","")&amp;IF(N21="","source of cost, ","")&amp;IF(O21="","share removed, ","")&amp;IF(P21="","how sure, ","")&amp;IF(Q21="","bottom line, ","")&amp;IF(R21="","shared benefit, ","")&amp;IF(AND(R21="Yes",S21=""),"which line, ","")&amp;IF(T21="","Benefit Owner, ","")</f>
        <v>problem, what we count, times per year, source of times, cost each time, source of cost, share removed, how sure, bottom line, shared benefit, Benefit Owner, </v>
      </c>
      <c r="AD21" s="0" t="str">
        <f aca="true">IF(OR(B21="",C21=""),"",IFERROR(MATCH(B21,Library!$D$5:$D$169,0)+MATCH(C21,OFFSET(Library!$E$5,MATCH(B21,Library!$D$5:$D$169,0)-1,0,COUNTIF(Library!$D$5:$D$169,B21),1),0)-1,""))</f>
        <v/>
      </c>
      <c r="AE21" s="0" t="str">
        <f aca="false">IF(C21="","",IF(O21=1,"Is removing 100% of the problem realistic? · ","")&amp;IF(AND(P21="Gut feeling",ISNUMBER(V21)),IF(V21=MAX($V$6:$V$30),"Your biggest line rests on a gut feeling — can you measure it? · ","A gut feeling — what would it take to measure it? · "),"")&amp;IF(AND(P21="Qualified estimate",ISNUMBER(V21)),IF(V21=MAX($V$6:$V$30),"Your biggest line is an estimate — can you count it in your systems? · ",""),"")&amp;IF(Q21="No","How does the time saved turn into money? · ","")&amp;IF(AND(ISNUMBER(U21),N(U21)&gt;5000),"Check the cost: is it really per occurrence? · ","")&amp;IF(AND(ISNUMBER(I21),N(I21)&gt;100000),"Check the count: is it really per year? · ","")&amp;IF(R21="Yes","Merge or remove the overlap before the CFO sees it. · ",""))</f>
        <v/>
      </c>
      <c r="AF21" s="0" t="str">
        <f aca="false">IF(ISNUMBER(X21),X21+ROW()/1000000,"")</f>
        <v/>
      </c>
    </row>
    <row r="22" customFormat="false" ht="48" hidden="false" customHeight="true" outlineLevel="0" collapsed="false">
      <c r="A22" s="103" t="s">
        <v>217</v>
      </c>
      <c r="B22" s="69"/>
      <c r="C22" s="69"/>
      <c r="D22" s="104" t="str">
        <f aca="false">IF(AD22="","",INDEX(Library!$F$5:$F$169,AD22))</f>
        <v/>
      </c>
      <c r="E22" s="104" t="str">
        <f aca="false">IF(AD22="","",TRIM(IF(INDEX(Library!$G$5:$G$169,AD22)="Yes","SEE ","")&amp;IF(INDEX(Library!$H$5:$H$169,AD22)="Yes","STEER ","")&amp;IF(INDEX(Library!$I$5:$I$169,AD22)="Yes","KEEP","")))</f>
        <v/>
      </c>
      <c r="F22" s="105" t="str">
        <f aca="false">IF(AD22="","",INDEX(Library!$J$5:$J$169,AD22)&amp;IF(INDEX(Library!$K$5:$K$169,AD22)="","",CHAR(10)&amp;"Count: "&amp;INDEX(Library!$K$5:$K$169,AD22)))</f>
        <v/>
      </c>
      <c r="G22" s="69"/>
      <c r="H22" s="69"/>
      <c r="I22" s="106"/>
      <c r="J22" s="69"/>
      <c r="K22" s="106"/>
      <c r="L22" s="106"/>
      <c r="M22" s="106"/>
      <c r="N22" s="69"/>
      <c r="O22" s="107"/>
      <c r="P22" s="69"/>
      <c r="Q22" s="69"/>
      <c r="R22" s="69"/>
      <c r="S22" s="69"/>
      <c r="T22" s="69"/>
      <c r="U22" s="108" t="str">
        <f aca="false">IF(K22&lt;&gt;"",K22,IF(AND(L22&lt;&gt;"",M22&lt;&gt;""),L22/60*M22,""))</f>
        <v/>
      </c>
      <c r="V22" s="109" t="str">
        <f aca="false">IF(OR(I22="",U22="",O22=""),"",I22*U22*O22)</f>
        <v/>
      </c>
      <c r="W22" s="110" t="str">
        <f aca="false">IF(P22="","",IFERROR(INDEX('CFO Appendix'!$B$6:$B$8,MATCH(P22,'CFO Appendix'!$A$6:$A$8,0)),""))</f>
        <v/>
      </c>
      <c r="X22" s="109" t="str">
        <f aca="false">IF(OR(V22="",W22=""),"",V22*W22)</f>
        <v/>
      </c>
      <c r="Y22" s="111" t="str">
        <f aca="false">IF(AND(B22="",C22=""),"",IF(C22="","Choose a capability",IF(AD22="","Capability not in this domain",IF(COUNTIFS($B$6:$B$30,B22,$C$6:$C$30,C22)&gt;1,"Chosen twice",IF(AC22="","Complete","Missing: "&amp;LEFT(AC22,LEN(AC22)-2))))))</f>
        <v/>
      </c>
      <c r="Z22" s="112" t="str">
        <f aca="false">IF(V22="","",IF(AND(P22="Measured in our systems",Q22="Yes"),"A",IF(P22="Gut feeling","C","B")))</f>
        <v/>
      </c>
      <c r="AA22" s="111" t="str">
        <f aca="false">IF(Y22&lt;&gt;"Complete","","We remove "&amp;FIXED(O22*100,0)&amp;"% of "&amp;FIXED(I22,0)&amp;" "&amp;H22&amp;" a year — worth €"&amp;FIXED(V22,0)&amp;" a year. The number is "&amp;IF(P22="Measured in our systems","measured",IF(P22="Qualified estimate","a qualified estimate","a gut feeling"))&amp;" ("&amp;J22&amp;"). Owner: "&amp;T22&amp;".")</f>
        <v/>
      </c>
      <c r="AB22" s="113" t="str">
        <f aca="false">IF(C22="","",IF(AE22="",IF(Z22="A","Solid — measured and on the bottom line. Be ready to show the source.","Be ready to show where the numbers come from."),LEFT(AE22,LEN(AE22)-3)))</f>
        <v/>
      </c>
      <c r="AC22" s="0" t="str">
        <f aca="false">IF(G22="","problem, ","")&amp;IF(H22="","what we count, ","")&amp;IF(I22="","times per year, ","")&amp;IF(J22="","source of times, ","")&amp;IF(U22="","cost each time, ","")&amp;IF(N22="","source of cost, ","")&amp;IF(O22="","share removed, ","")&amp;IF(P22="","how sure, ","")&amp;IF(Q22="","bottom line, ","")&amp;IF(R22="","shared benefit, ","")&amp;IF(AND(R22="Yes",S22=""),"which line, ","")&amp;IF(T22="","Benefit Owner, ","")</f>
        <v>problem, what we count, times per year, source of times, cost each time, source of cost, share removed, how sure, bottom line, shared benefit, Benefit Owner, </v>
      </c>
      <c r="AD22" s="0" t="str">
        <f aca="true">IF(OR(B22="",C22=""),"",IFERROR(MATCH(B22,Library!$D$5:$D$169,0)+MATCH(C22,OFFSET(Library!$E$5,MATCH(B22,Library!$D$5:$D$169,0)-1,0,COUNTIF(Library!$D$5:$D$169,B22),1),0)-1,""))</f>
        <v/>
      </c>
      <c r="AE22" s="0" t="str">
        <f aca="false">IF(C22="","",IF(O22=1,"Is removing 100% of the problem realistic? · ","")&amp;IF(AND(P22="Gut feeling",ISNUMBER(V22)),IF(V22=MAX($V$6:$V$30),"Your biggest line rests on a gut feeling — can you measure it? · ","A gut feeling — what would it take to measure it? · "),"")&amp;IF(AND(P22="Qualified estimate",ISNUMBER(V22)),IF(V22=MAX($V$6:$V$30),"Your biggest line is an estimate — can you count it in your systems? · ",""),"")&amp;IF(Q22="No","How does the time saved turn into money? · ","")&amp;IF(AND(ISNUMBER(U22),N(U22)&gt;5000),"Check the cost: is it really per occurrence? · ","")&amp;IF(AND(ISNUMBER(I22),N(I22)&gt;100000),"Check the count: is it really per year? · ","")&amp;IF(R22="Yes","Merge or remove the overlap before the CFO sees it. · ",""))</f>
        <v/>
      </c>
      <c r="AF22" s="0" t="str">
        <f aca="false">IF(ISNUMBER(X22),X22+ROW()/1000000,"")</f>
        <v/>
      </c>
    </row>
    <row r="23" customFormat="false" ht="48" hidden="false" customHeight="true" outlineLevel="0" collapsed="false">
      <c r="A23" s="103" t="s">
        <v>218</v>
      </c>
      <c r="B23" s="69"/>
      <c r="C23" s="69"/>
      <c r="D23" s="104" t="str">
        <f aca="false">IF(AD23="","",INDEX(Library!$F$5:$F$169,AD23))</f>
        <v/>
      </c>
      <c r="E23" s="104" t="str">
        <f aca="false">IF(AD23="","",TRIM(IF(INDEX(Library!$G$5:$G$169,AD23)="Yes","SEE ","")&amp;IF(INDEX(Library!$H$5:$H$169,AD23)="Yes","STEER ","")&amp;IF(INDEX(Library!$I$5:$I$169,AD23)="Yes","KEEP","")))</f>
        <v/>
      </c>
      <c r="F23" s="105" t="str">
        <f aca="false">IF(AD23="","",INDEX(Library!$J$5:$J$169,AD23)&amp;IF(INDEX(Library!$K$5:$K$169,AD23)="","",CHAR(10)&amp;"Count: "&amp;INDEX(Library!$K$5:$K$169,AD23)))</f>
        <v/>
      </c>
      <c r="G23" s="69"/>
      <c r="H23" s="69"/>
      <c r="I23" s="106"/>
      <c r="J23" s="69"/>
      <c r="K23" s="106"/>
      <c r="L23" s="106"/>
      <c r="M23" s="106"/>
      <c r="N23" s="69"/>
      <c r="O23" s="107"/>
      <c r="P23" s="69"/>
      <c r="Q23" s="69"/>
      <c r="R23" s="69"/>
      <c r="S23" s="69"/>
      <c r="T23" s="69"/>
      <c r="U23" s="108" t="str">
        <f aca="false">IF(K23&lt;&gt;"",K23,IF(AND(L23&lt;&gt;"",M23&lt;&gt;""),L23/60*M23,""))</f>
        <v/>
      </c>
      <c r="V23" s="109" t="str">
        <f aca="false">IF(OR(I23="",U23="",O23=""),"",I23*U23*O23)</f>
        <v/>
      </c>
      <c r="W23" s="110" t="str">
        <f aca="false">IF(P23="","",IFERROR(INDEX('CFO Appendix'!$B$6:$B$8,MATCH(P23,'CFO Appendix'!$A$6:$A$8,0)),""))</f>
        <v/>
      </c>
      <c r="X23" s="109" t="str">
        <f aca="false">IF(OR(V23="",W23=""),"",V23*W23)</f>
        <v/>
      </c>
      <c r="Y23" s="111" t="str">
        <f aca="false">IF(AND(B23="",C23=""),"",IF(C23="","Choose a capability",IF(AD23="","Capability not in this domain",IF(COUNTIFS($B$6:$B$30,B23,$C$6:$C$30,C23)&gt;1,"Chosen twice",IF(AC23="","Complete","Missing: "&amp;LEFT(AC23,LEN(AC23)-2))))))</f>
        <v/>
      </c>
      <c r="Z23" s="112" t="str">
        <f aca="false">IF(V23="","",IF(AND(P23="Measured in our systems",Q23="Yes"),"A",IF(P23="Gut feeling","C","B")))</f>
        <v/>
      </c>
      <c r="AA23" s="111" t="str">
        <f aca="false">IF(Y23&lt;&gt;"Complete","","We remove "&amp;FIXED(O23*100,0)&amp;"% of "&amp;FIXED(I23,0)&amp;" "&amp;H23&amp;" a year — worth €"&amp;FIXED(V23,0)&amp;" a year. The number is "&amp;IF(P23="Measured in our systems","measured",IF(P23="Qualified estimate","a qualified estimate","a gut feeling"))&amp;" ("&amp;J23&amp;"). Owner: "&amp;T23&amp;".")</f>
        <v/>
      </c>
      <c r="AB23" s="113" t="str">
        <f aca="false">IF(C23="","",IF(AE23="",IF(Z23="A","Solid — measured and on the bottom line. Be ready to show the source.","Be ready to show where the numbers come from."),LEFT(AE23,LEN(AE23)-3)))</f>
        <v/>
      </c>
      <c r="AC23" s="0" t="str">
        <f aca="false">IF(G23="","problem, ","")&amp;IF(H23="","what we count, ","")&amp;IF(I23="","times per year, ","")&amp;IF(J23="","source of times, ","")&amp;IF(U23="","cost each time, ","")&amp;IF(N23="","source of cost, ","")&amp;IF(O23="","share removed, ","")&amp;IF(P23="","how sure, ","")&amp;IF(Q23="","bottom line, ","")&amp;IF(R23="","shared benefit, ","")&amp;IF(AND(R23="Yes",S23=""),"which line, ","")&amp;IF(T23="","Benefit Owner, ","")</f>
        <v>problem, what we count, times per year, source of times, cost each time, source of cost, share removed, how sure, bottom line, shared benefit, Benefit Owner, </v>
      </c>
      <c r="AD23" s="0" t="str">
        <f aca="true">IF(OR(B23="",C23=""),"",IFERROR(MATCH(B23,Library!$D$5:$D$169,0)+MATCH(C23,OFFSET(Library!$E$5,MATCH(B23,Library!$D$5:$D$169,0)-1,0,COUNTIF(Library!$D$5:$D$169,B23),1),0)-1,""))</f>
        <v/>
      </c>
      <c r="AE23" s="0" t="str">
        <f aca="false">IF(C23="","",IF(O23=1,"Is removing 100% of the problem realistic? · ","")&amp;IF(AND(P23="Gut feeling",ISNUMBER(V23)),IF(V23=MAX($V$6:$V$30),"Your biggest line rests on a gut feeling — can you measure it? · ","A gut feeling — what would it take to measure it? · "),"")&amp;IF(AND(P23="Qualified estimate",ISNUMBER(V23)),IF(V23=MAX($V$6:$V$30),"Your biggest line is an estimate — can you count it in your systems? · ",""),"")&amp;IF(Q23="No","How does the time saved turn into money? · ","")&amp;IF(AND(ISNUMBER(U23),N(U23)&gt;5000),"Check the cost: is it really per occurrence? · ","")&amp;IF(AND(ISNUMBER(I23),N(I23)&gt;100000),"Check the count: is it really per year? · ","")&amp;IF(R23="Yes","Merge or remove the overlap before the CFO sees it. · ",""))</f>
        <v/>
      </c>
      <c r="AF23" s="0" t="str">
        <f aca="false">IF(ISNUMBER(X23),X23+ROW()/1000000,"")</f>
        <v/>
      </c>
    </row>
    <row r="24" customFormat="false" ht="48" hidden="false" customHeight="true" outlineLevel="0" collapsed="false">
      <c r="A24" s="103" t="s">
        <v>219</v>
      </c>
      <c r="B24" s="69"/>
      <c r="C24" s="69"/>
      <c r="D24" s="104" t="str">
        <f aca="false">IF(AD24="","",INDEX(Library!$F$5:$F$169,AD24))</f>
        <v/>
      </c>
      <c r="E24" s="104" t="str">
        <f aca="false">IF(AD24="","",TRIM(IF(INDEX(Library!$G$5:$G$169,AD24)="Yes","SEE ","")&amp;IF(INDEX(Library!$H$5:$H$169,AD24)="Yes","STEER ","")&amp;IF(INDEX(Library!$I$5:$I$169,AD24)="Yes","KEEP","")))</f>
        <v/>
      </c>
      <c r="F24" s="105" t="str">
        <f aca="false">IF(AD24="","",INDEX(Library!$J$5:$J$169,AD24)&amp;IF(INDEX(Library!$K$5:$K$169,AD24)="","",CHAR(10)&amp;"Count: "&amp;INDEX(Library!$K$5:$K$169,AD24)))</f>
        <v/>
      </c>
      <c r="G24" s="69"/>
      <c r="H24" s="69"/>
      <c r="I24" s="106"/>
      <c r="J24" s="69"/>
      <c r="K24" s="106"/>
      <c r="L24" s="106"/>
      <c r="M24" s="106"/>
      <c r="N24" s="69"/>
      <c r="O24" s="107"/>
      <c r="P24" s="69"/>
      <c r="Q24" s="69"/>
      <c r="R24" s="69"/>
      <c r="S24" s="69"/>
      <c r="T24" s="69"/>
      <c r="U24" s="108" t="str">
        <f aca="false">IF(K24&lt;&gt;"",K24,IF(AND(L24&lt;&gt;"",M24&lt;&gt;""),L24/60*M24,""))</f>
        <v/>
      </c>
      <c r="V24" s="109" t="str">
        <f aca="false">IF(OR(I24="",U24="",O24=""),"",I24*U24*O24)</f>
        <v/>
      </c>
      <c r="W24" s="110" t="str">
        <f aca="false">IF(P24="","",IFERROR(INDEX('CFO Appendix'!$B$6:$B$8,MATCH(P24,'CFO Appendix'!$A$6:$A$8,0)),""))</f>
        <v/>
      </c>
      <c r="X24" s="109" t="str">
        <f aca="false">IF(OR(V24="",W24=""),"",V24*W24)</f>
        <v/>
      </c>
      <c r="Y24" s="111" t="str">
        <f aca="false">IF(AND(B24="",C24=""),"",IF(C24="","Choose a capability",IF(AD24="","Capability not in this domain",IF(COUNTIFS($B$6:$B$30,B24,$C$6:$C$30,C24)&gt;1,"Chosen twice",IF(AC24="","Complete","Missing: "&amp;LEFT(AC24,LEN(AC24)-2))))))</f>
        <v/>
      </c>
      <c r="Z24" s="112" t="str">
        <f aca="false">IF(V24="","",IF(AND(P24="Measured in our systems",Q24="Yes"),"A",IF(P24="Gut feeling","C","B")))</f>
        <v/>
      </c>
      <c r="AA24" s="111" t="str">
        <f aca="false">IF(Y24&lt;&gt;"Complete","","We remove "&amp;FIXED(O24*100,0)&amp;"% of "&amp;FIXED(I24,0)&amp;" "&amp;H24&amp;" a year — worth €"&amp;FIXED(V24,0)&amp;" a year. The number is "&amp;IF(P24="Measured in our systems","measured",IF(P24="Qualified estimate","a qualified estimate","a gut feeling"))&amp;" ("&amp;J24&amp;"). Owner: "&amp;T24&amp;".")</f>
        <v/>
      </c>
      <c r="AB24" s="113" t="str">
        <f aca="false">IF(C24="","",IF(AE24="",IF(Z24="A","Solid — measured and on the bottom line. Be ready to show the source.","Be ready to show where the numbers come from."),LEFT(AE24,LEN(AE24)-3)))</f>
        <v/>
      </c>
      <c r="AC24" s="0" t="str">
        <f aca="false">IF(G24="","problem, ","")&amp;IF(H24="","what we count, ","")&amp;IF(I24="","times per year, ","")&amp;IF(J24="","source of times, ","")&amp;IF(U24="","cost each time, ","")&amp;IF(N24="","source of cost, ","")&amp;IF(O24="","share removed, ","")&amp;IF(P24="","how sure, ","")&amp;IF(Q24="","bottom line, ","")&amp;IF(R24="","shared benefit, ","")&amp;IF(AND(R24="Yes",S24=""),"which line, ","")&amp;IF(T24="","Benefit Owner, ","")</f>
        <v>problem, what we count, times per year, source of times, cost each time, source of cost, share removed, how sure, bottom line, shared benefit, Benefit Owner, </v>
      </c>
      <c r="AD24" s="0" t="str">
        <f aca="true">IF(OR(B24="",C24=""),"",IFERROR(MATCH(B24,Library!$D$5:$D$169,0)+MATCH(C24,OFFSET(Library!$E$5,MATCH(B24,Library!$D$5:$D$169,0)-1,0,COUNTIF(Library!$D$5:$D$169,B24),1),0)-1,""))</f>
        <v/>
      </c>
      <c r="AE24" s="0" t="str">
        <f aca="false">IF(C24="","",IF(O24=1,"Is removing 100% of the problem realistic? · ","")&amp;IF(AND(P24="Gut feeling",ISNUMBER(V24)),IF(V24=MAX($V$6:$V$30),"Your biggest line rests on a gut feeling — can you measure it? · ","A gut feeling — what would it take to measure it? · "),"")&amp;IF(AND(P24="Qualified estimate",ISNUMBER(V24)),IF(V24=MAX($V$6:$V$30),"Your biggest line is an estimate — can you count it in your systems? · ",""),"")&amp;IF(Q24="No","How does the time saved turn into money? · ","")&amp;IF(AND(ISNUMBER(U24),N(U24)&gt;5000),"Check the cost: is it really per occurrence? · ","")&amp;IF(AND(ISNUMBER(I24),N(I24)&gt;100000),"Check the count: is it really per year? · ","")&amp;IF(R24="Yes","Merge or remove the overlap before the CFO sees it. · ",""))</f>
        <v/>
      </c>
      <c r="AF24" s="0" t="str">
        <f aca="false">IF(ISNUMBER(X24),X24+ROW()/1000000,"")</f>
        <v/>
      </c>
    </row>
    <row r="25" customFormat="false" ht="48" hidden="false" customHeight="true" outlineLevel="0" collapsed="false">
      <c r="A25" s="103" t="s">
        <v>220</v>
      </c>
      <c r="B25" s="69"/>
      <c r="C25" s="69"/>
      <c r="D25" s="104" t="str">
        <f aca="false">IF(AD25="","",INDEX(Library!$F$5:$F$169,AD25))</f>
        <v/>
      </c>
      <c r="E25" s="104" t="str">
        <f aca="false">IF(AD25="","",TRIM(IF(INDEX(Library!$G$5:$G$169,AD25)="Yes","SEE ","")&amp;IF(INDEX(Library!$H$5:$H$169,AD25)="Yes","STEER ","")&amp;IF(INDEX(Library!$I$5:$I$169,AD25)="Yes","KEEP","")))</f>
        <v/>
      </c>
      <c r="F25" s="105" t="str">
        <f aca="false">IF(AD25="","",INDEX(Library!$J$5:$J$169,AD25)&amp;IF(INDEX(Library!$K$5:$K$169,AD25)="","",CHAR(10)&amp;"Count: "&amp;INDEX(Library!$K$5:$K$169,AD25)))</f>
        <v/>
      </c>
      <c r="G25" s="69"/>
      <c r="H25" s="69"/>
      <c r="I25" s="106"/>
      <c r="J25" s="69"/>
      <c r="K25" s="106"/>
      <c r="L25" s="106"/>
      <c r="M25" s="106"/>
      <c r="N25" s="69"/>
      <c r="O25" s="107"/>
      <c r="P25" s="69"/>
      <c r="Q25" s="69"/>
      <c r="R25" s="69"/>
      <c r="S25" s="69"/>
      <c r="T25" s="69"/>
      <c r="U25" s="108" t="str">
        <f aca="false">IF(K25&lt;&gt;"",K25,IF(AND(L25&lt;&gt;"",M25&lt;&gt;""),L25/60*M25,""))</f>
        <v/>
      </c>
      <c r="V25" s="109" t="str">
        <f aca="false">IF(OR(I25="",U25="",O25=""),"",I25*U25*O25)</f>
        <v/>
      </c>
      <c r="W25" s="110" t="str">
        <f aca="false">IF(P25="","",IFERROR(INDEX('CFO Appendix'!$B$6:$B$8,MATCH(P25,'CFO Appendix'!$A$6:$A$8,0)),""))</f>
        <v/>
      </c>
      <c r="X25" s="109" t="str">
        <f aca="false">IF(OR(V25="",W25=""),"",V25*W25)</f>
        <v/>
      </c>
      <c r="Y25" s="111" t="str">
        <f aca="false">IF(AND(B25="",C25=""),"",IF(C25="","Choose a capability",IF(AD25="","Capability not in this domain",IF(COUNTIFS($B$6:$B$30,B25,$C$6:$C$30,C25)&gt;1,"Chosen twice",IF(AC25="","Complete","Missing: "&amp;LEFT(AC25,LEN(AC25)-2))))))</f>
        <v/>
      </c>
      <c r="Z25" s="112" t="str">
        <f aca="false">IF(V25="","",IF(AND(P25="Measured in our systems",Q25="Yes"),"A",IF(P25="Gut feeling","C","B")))</f>
        <v/>
      </c>
      <c r="AA25" s="111" t="str">
        <f aca="false">IF(Y25&lt;&gt;"Complete","","We remove "&amp;FIXED(O25*100,0)&amp;"% of "&amp;FIXED(I25,0)&amp;" "&amp;H25&amp;" a year — worth €"&amp;FIXED(V25,0)&amp;" a year. The number is "&amp;IF(P25="Measured in our systems","measured",IF(P25="Qualified estimate","a qualified estimate","a gut feeling"))&amp;" ("&amp;J25&amp;"). Owner: "&amp;T25&amp;".")</f>
        <v/>
      </c>
      <c r="AB25" s="113" t="str">
        <f aca="false">IF(C25="","",IF(AE25="",IF(Z25="A","Solid — measured and on the bottom line. Be ready to show the source.","Be ready to show where the numbers come from."),LEFT(AE25,LEN(AE25)-3)))</f>
        <v/>
      </c>
      <c r="AC25" s="0" t="str">
        <f aca="false">IF(G25="","problem, ","")&amp;IF(H25="","what we count, ","")&amp;IF(I25="","times per year, ","")&amp;IF(J25="","source of times, ","")&amp;IF(U25="","cost each time, ","")&amp;IF(N25="","source of cost, ","")&amp;IF(O25="","share removed, ","")&amp;IF(P25="","how sure, ","")&amp;IF(Q25="","bottom line, ","")&amp;IF(R25="","shared benefit, ","")&amp;IF(AND(R25="Yes",S25=""),"which line, ","")&amp;IF(T25="","Benefit Owner, ","")</f>
        <v>problem, what we count, times per year, source of times, cost each time, source of cost, share removed, how sure, bottom line, shared benefit, Benefit Owner, </v>
      </c>
      <c r="AD25" s="0" t="str">
        <f aca="true">IF(OR(B25="",C25=""),"",IFERROR(MATCH(B25,Library!$D$5:$D$169,0)+MATCH(C25,OFFSET(Library!$E$5,MATCH(B25,Library!$D$5:$D$169,0)-1,0,COUNTIF(Library!$D$5:$D$169,B25),1),0)-1,""))</f>
        <v/>
      </c>
      <c r="AE25" s="0" t="str">
        <f aca="false">IF(C25="","",IF(O25=1,"Is removing 100% of the problem realistic? · ","")&amp;IF(AND(P25="Gut feeling",ISNUMBER(V25)),IF(V25=MAX($V$6:$V$30),"Your biggest line rests on a gut feeling — can you measure it? · ","A gut feeling — what would it take to measure it? · "),"")&amp;IF(AND(P25="Qualified estimate",ISNUMBER(V25)),IF(V25=MAX($V$6:$V$30),"Your biggest line is an estimate — can you count it in your systems? · ",""),"")&amp;IF(Q25="No","How does the time saved turn into money? · ","")&amp;IF(AND(ISNUMBER(U25),N(U25)&gt;5000),"Check the cost: is it really per occurrence? · ","")&amp;IF(AND(ISNUMBER(I25),N(I25)&gt;100000),"Check the count: is it really per year? · ","")&amp;IF(R25="Yes","Merge or remove the overlap before the CFO sees it. · ",""))</f>
        <v/>
      </c>
      <c r="AF25" s="0" t="str">
        <f aca="false">IF(ISNUMBER(X25),X25+ROW()/1000000,"")</f>
        <v/>
      </c>
    </row>
    <row r="26" customFormat="false" ht="48" hidden="false" customHeight="true" outlineLevel="0" collapsed="false">
      <c r="A26" s="103" t="s">
        <v>221</v>
      </c>
      <c r="B26" s="69"/>
      <c r="C26" s="69"/>
      <c r="D26" s="104" t="str">
        <f aca="false">IF(AD26="","",INDEX(Library!$F$5:$F$169,AD26))</f>
        <v/>
      </c>
      <c r="E26" s="104" t="str">
        <f aca="false">IF(AD26="","",TRIM(IF(INDEX(Library!$G$5:$G$169,AD26)="Yes","SEE ","")&amp;IF(INDEX(Library!$H$5:$H$169,AD26)="Yes","STEER ","")&amp;IF(INDEX(Library!$I$5:$I$169,AD26)="Yes","KEEP","")))</f>
        <v/>
      </c>
      <c r="F26" s="105" t="str">
        <f aca="false">IF(AD26="","",INDEX(Library!$J$5:$J$169,AD26)&amp;IF(INDEX(Library!$K$5:$K$169,AD26)="","",CHAR(10)&amp;"Count: "&amp;INDEX(Library!$K$5:$K$169,AD26)))</f>
        <v/>
      </c>
      <c r="G26" s="69"/>
      <c r="H26" s="69"/>
      <c r="I26" s="106"/>
      <c r="J26" s="69"/>
      <c r="K26" s="106"/>
      <c r="L26" s="106"/>
      <c r="M26" s="106"/>
      <c r="N26" s="69"/>
      <c r="O26" s="107"/>
      <c r="P26" s="69"/>
      <c r="Q26" s="69"/>
      <c r="R26" s="69"/>
      <c r="S26" s="69"/>
      <c r="T26" s="69"/>
      <c r="U26" s="108" t="str">
        <f aca="false">IF(K26&lt;&gt;"",K26,IF(AND(L26&lt;&gt;"",M26&lt;&gt;""),L26/60*M26,""))</f>
        <v/>
      </c>
      <c r="V26" s="109" t="str">
        <f aca="false">IF(OR(I26="",U26="",O26=""),"",I26*U26*O26)</f>
        <v/>
      </c>
      <c r="W26" s="110" t="str">
        <f aca="false">IF(P26="","",IFERROR(INDEX('CFO Appendix'!$B$6:$B$8,MATCH(P26,'CFO Appendix'!$A$6:$A$8,0)),""))</f>
        <v/>
      </c>
      <c r="X26" s="109" t="str">
        <f aca="false">IF(OR(V26="",W26=""),"",V26*W26)</f>
        <v/>
      </c>
      <c r="Y26" s="111" t="str">
        <f aca="false">IF(AND(B26="",C26=""),"",IF(C26="","Choose a capability",IF(AD26="","Capability not in this domain",IF(COUNTIFS($B$6:$B$30,B26,$C$6:$C$30,C26)&gt;1,"Chosen twice",IF(AC26="","Complete","Missing: "&amp;LEFT(AC26,LEN(AC26)-2))))))</f>
        <v/>
      </c>
      <c r="Z26" s="112" t="str">
        <f aca="false">IF(V26="","",IF(AND(P26="Measured in our systems",Q26="Yes"),"A",IF(P26="Gut feeling","C","B")))</f>
        <v/>
      </c>
      <c r="AA26" s="111" t="str">
        <f aca="false">IF(Y26&lt;&gt;"Complete","","We remove "&amp;FIXED(O26*100,0)&amp;"% of "&amp;FIXED(I26,0)&amp;" "&amp;H26&amp;" a year — worth €"&amp;FIXED(V26,0)&amp;" a year. The number is "&amp;IF(P26="Measured in our systems","measured",IF(P26="Qualified estimate","a qualified estimate","a gut feeling"))&amp;" ("&amp;J26&amp;"). Owner: "&amp;T26&amp;".")</f>
        <v/>
      </c>
      <c r="AB26" s="113" t="str">
        <f aca="false">IF(C26="","",IF(AE26="",IF(Z26="A","Solid — measured and on the bottom line. Be ready to show the source.","Be ready to show where the numbers come from."),LEFT(AE26,LEN(AE26)-3)))</f>
        <v/>
      </c>
      <c r="AC26" s="0" t="str">
        <f aca="false">IF(G26="","problem, ","")&amp;IF(H26="","what we count, ","")&amp;IF(I26="","times per year, ","")&amp;IF(J26="","source of times, ","")&amp;IF(U26="","cost each time, ","")&amp;IF(N26="","source of cost, ","")&amp;IF(O26="","share removed, ","")&amp;IF(P26="","how sure, ","")&amp;IF(Q26="","bottom line, ","")&amp;IF(R26="","shared benefit, ","")&amp;IF(AND(R26="Yes",S26=""),"which line, ","")&amp;IF(T26="","Benefit Owner, ","")</f>
        <v>problem, what we count, times per year, source of times, cost each time, source of cost, share removed, how sure, bottom line, shared benefit, Benefit Owner, </v>
      </c>
      <c r="AD26" s="0" t="str">
        <f aca="true">IF(OR(B26="",C26=""),"",IFERROR(MATCH(B26,Library!$D$5:$D$169,0)+MATCH(C26,OFFSET(Library!$E$5,MATCH(B26,Library!$D$5:$D$169,0)-1,0,COUNTIF(Library!$D$5:$D$169,B26),1),0)-1,""))</f>
        <v/>
      </c>
      <c r="AE26" s="0" t="str">
        <f aca="false">IF(C26="","",IF(O26=1,"Is removing 100% of the problem realistic? · ","")&amp;IF(AND(P26="Gut feeling",ISNUMBER(V26)),IF(V26=MAX($V$6:$V$30),"Your biggest line rests on a gut feeling — can you measure it? · ","A gut feeling — what would it take to measure it? · "),"")&amp;IF(AND(P26="Qualified estimate",ISNUMBER(V26)),IF(V26=MAX($V$6:$V$30),"Your biggest line is an estimate — can you count it in your systems? · ",""),"")&amp;IF(Q26="No","How does the time saved turn into money? · ","")&amp;IF(AND(ISNUMBER(U26),N(U26)&gt;5000),"Check the cost: is it really per occurrence? · ","")&amp;IF(AND(ISNUMBER(I26),N(I26)&gt;100000),"Check the count: is it really per year? · ","")&amp;IF(R26="Yes","Merge or remove the overlap before the CFO sees it. · ",""))</f>
        <v/>
      </c>
      <c r="AF26" s="0" t="str">
        <f aca="false">IF(ISNUMBER(X26),X26+ROW()/1000000,"")</f>
        <v/>
      </c>
    </row>
    <row r="27" customFormat="false" ht="48" hidden="false" customHeight="true" outlineLevel="0" collapsed="false">
      <c r="A27" s="103" t="s">
        <v>222</v>
      </c>
      <c r="B27" s="69"/>
      <c r="C27" s="69"/>
      <c r="D27" s="104" t="str">
        <f aca="false">IF(AD27="","",INDEX(Library!$F$5:$F$169,AD27))</f>
        <v/>
      </c>
      <c r="E27" s="104" t="str">
        <f aca="false">IF(AD27="","",TRIM(IF(INDEX(Library!$G$5:$G$169,AD27)="Yes","SEE ","")&amp;IF(INDEX(Library!$H$5:$H$169,AD27)="Yes","STEER ","")&amp;IF(INDEX(Library!$I$5:$I$169,AD27)="Yes","KEEP","")))</f>
        <v/>
      </c>
      <c r="F27" s="105" t="str">
        <f aca="false">IF(AD27="","",INDEX(Library!$J$5:$J$169,AD27)&amp;IF(INDEX(Library!$K$5:$K$169,AD27)="","",CHAR(10)&amp;"Count: "&amp;INDEX(Library!$K$5:$K$169,AD27)))</f>
        <v/>
      </c>
      <c r="G27" s="69"/>
      <c r="H27" s="69"/>
      <c r="I27" s="106"/>
      <c r="J27" s="69"/>
      <c r="K27" s="106"/>
      <c r="L27" s="106"/>
      <c r="M27" s="106"/>
      <c r="N27" s="69"/>
      <c r="O27" s="107"/>
      <c r="P27" s="69"/>
      <c r="Q27" s="69"/>
      <c r="R27" s="69"/>
      <c r="S27" s="69"/>
      <c r="T27" s="69"/>
      <c r="U27" s="108" t="str">
        <f aca="false">IF(K27&lt;&gt;"",K27,IF(AND(L27&lt;&gt;"",M27&lt;&gt;""),L27/60*M27,""))</f>
        <v/>
      </c>
      <c r="V27" s="109" t="str">
        <f aca="false">IF(OR(I27="",U27="",O27=""),"",I27*U27*O27)</f>
        <v/>
      </c>
      <c r="W27" s="110" t="str">
        <f aca="false">IF(P27="","",IFERROR(INDEX('CFO Appendix'!$B$6:$B$8,MATCH(P27,'CFO Appendix'!$A$6:$A$8,0)),""))</f>
        <v/>
      </c>
      <c r="X27" s="109" t="str">
        <f aca="false">IF(OR(V27="",W27=""),"",V27*W27)</f>
        <v/>
      </c>
      <c r="Y27" s="111" t="str">
        <f aca="false">IF(AND(B27="",C27=""),"",IF(C27="","Choose a capability",IF(AD27="","Capability not in this domain",IF(COUNTIFS($B$6:$B$30,B27,$C$6:$C$30,C27)&gt;1,"Chosen twice",IF(AC27="","Complete","Missing: "&amp;LEFT(AC27,LEN(AC27)-2))))))</f>
        <v/>
      </c>
      <c r="Z27" s="112" t="str">
        <f aca="false">IF(V27="","",IF(AND(P27="Measured in our systems",Q27="Yes"),"A",IF(P27="Gut feeling","C","B")))</f>
        <v/>
      </c>
      <c r="AA27" s="111" t="str">
        <f aca="false">IF(Y27&lt;&gt;"Complete","","We remove "&amp;FIXED(O27*100,0)&amp;"% of "&amp;FIXED(I27,0)&amp;" "&amp;H27&amp;" a year — worth €"&amp;FIXED(V27,0)&amp;" a year. The number is "&amp;IF(P27="Measured in our systems","measured",IF(P27="Qualified estimate","a qualified estimate","a gut feeling"))&amp;" ("&amp;J27&amp;"). Owner: "&amp;T27&amp;".")</f>
        <v/>
      </c>
      <c r="AB27" s="113" t="str">
        <f aca="false">IF(C27="","",IF(AE27="",IF(Z27="A","Solid — measured and on the bottom line. Be ready to show the source.","Be ready to show where the numbers come from."),LEFT(AE27,LEN(AE27)-3)))</f>
        <v/>
      </c>
      <c r="AC27" s="0" t="str">
        <f aca="false">IF(G27="","problem, ","")&amp;IF(H27="","what we count, ","")&amp;IF(I27="","times per year, ","")&amp;IF(J27="","source of times, ","")&amp;IF(U27="","cost each time, ","")&amp;IF(N27="","source of cost, ","")&amp;IF(O27="","share removed, ","")&amp;IF(P27="","how sure, ","")&amp;IF(Q27="","bottom line, ","")&amp;IF(R27="","shared benefit, ","")&amp;IF(AND(R27="Yes",S27=""),"which line, ","")&amp;IF(T27="","Benefit Owner, ","")</f>
        <v>problem, what we count, times per year, source of times, cost each time, source of cost, share removed, how sure, bottom line, shared benefit, Benefit Owner, </v>
      </c>
      <c r="AD27" s="0" t="str">
        <f aca="true">IF(OR(B27="",C27=""),"",IFERROR(MATCH(B27,Library!$D$5:$D$169,0)+MATCH(C27,OFFSET(Library!$E$5,MATCH(B27,Library!$D$5:$D$169,0)-1,0,COUNTIF(Library!$D$5:$D$169,B27),1),0)-1,""))</f>
        <v/>
      </c>
      <c r="AE27" s="0" t="str">
        <f aca="false">IF(C27="","",IF(O27=1,"Is removing 100% of the problem realistic? · ","")&amp;IF(AND(P27="Gut feeling",ISNUMBER(V27)),IF(V27=MAX($V$6:$V$30),"Your biggest line rests on a gut feeling — can you measure it? · ","A gut feeling — what would it take to measure it? · "),"")&amp;IF(AND(P27="Qualified estimate",ISNUMBER(V27)),IF(V27=MAX($V$6:$V$30),"Your biggest line is an estimate — can you count it in your systems? · ",""),"")&amp;IF(Q27="No","How does the time saved turn into money? · ","")&amp;IF(AND(ISNUMBER(U27),N(U27)&gt;5000),"Check the cost: is it really per occurrence? · ","")&amp;IF(AND(ISNUMBER(I27),N(I27)&gt;100000),"Check the count: is it really per year? · ","")&amp;IF(R27="Yes","Merge or remove the overlap before the CFO sees it. · ",""))</f>
        <v/>
      </c>
      <c r="AF27" s="0" t="str">
        <f aca="false">IF(ISNUMBER(X27),X27+ROW()/1000000,"")</f>
        <v/>
      </c>
    </row>
    <row r="28" customFormat="false" ht="48" hidden="false" customHeight="true" outlineLevel="0" collapsed="false">
      <c r="A28" s="103" t="s">
        <v>223</v>
      </c>
      <c r="B28" s="69"/>
      <c r="C28" s="69"/>
      <c r="D28" s="104" t="str">
        <f aca="false">IF(AD28="","",INDEX(Library!$F$5:$F$169,AD28))</f>
        <v/>
      </c>
      <c r="E28" s="104" t="str">
        <f aca="false">IF(AD28="","",TRIM(IF(INDEX(Library!$G$5:$G$169,AD28)="Yes","SEE ","")&amp;IF(INDEX(Library!$H$5:$H$169,AD28)="Yes","STEER ","")&amp;IF(INDEX(Library!$I$5:$I$169,AD28)="Yes","KEEP","")))</f>
        <v/>
      </c>
      <c r="F28" s="105" t="str">
        <f aca="false">IF(AD28="","",INDEX(Library!$J$5:$J$169,AD28)&amp;IF(INDEX(Library!$K$5:$K$169,AD28)="","",CHAR(10)&amp;"Count: "&amp;INDEX(Library!$K$5:$K$169,AD28)))</f>
        <v/>
      </c>
      <c r="G28" s="69"/>
      <c r="H28" s="69"/>
      <c r="I28" s="106"/>
      <c r="J28" s="69"/>
      <c r="K28" s="106"/>
      <c r="L28" s="106"/>
      <c r="M28" s="106"/>
      <c r="N28" s="69"/>
      <c r="O28" s="107"/>
      <c r="P28" s="69"/>
      <c r="Q28" s="69"/>
      <c r="R28" s="69"/>
      <c r="S28" s="69"/>
      <c r="T28" s="69"/>
      <c r="U28" s="108" t="str">
        <f aca="false">IF(K28&lt;&gt;"",K28,IF(AND(L28&lt;&gt;"",M28&lt;&gt;""),L28/60*M28,""))</f>
        <v/>
      </c>
      <c r="V28" s="109" t="str">
        <f aca="false">IF(OR(I28="",U28="",O28=""),"",I28*U28*O28)</f>
        <v/>
      </c>
      <c r="W28" s="110" t="str">
        <f aca="false">IF(P28="","",IFERROR(INDEX('CFO Appendix'!$B$6:$B$8,MATCH(P28,'CFO Appendix'!$A$6:$A$8,0)),""))</f>
        <v/>
      </c>
      <c r="X28" s="109" t="str">
        <f aca="false">IF(OR(V28="",W28=""),"",V28*W28)</f>
        <v/>
      </c>
      <c r="Y28" s="111" t="str">
        <f aca="false">IF(AND(B28="",C28=""),"",IF(C28="","Choose a capability",IF(AD28="","Capability not in this domain",IF(COUNTIFS($B$6:$B$30,B28,$C$6:$C$30,C28)&gt;1,"Chosen twice",IF(AC28="","Complete","Missing: "&amp;LEFT(AC28,LEN(AC28)-2))))))</f>
        <v/>
      </c>
      <c r="Z28" s="112" t="str">
        <f aca="false">IF(V28="","",IF(AND(P28="Measured in our systems",Q28="Yes"),"A",IF(P28="Gut feeling","C","B")))</f>
        <v/>
      </c>
      <c r="AA28" s="111" t="str">
        <f aca="false">IF(Y28&lt;&gt;"Complete","","We remove "&amp;FIXED(O28*100,0)&amp;"% of "&amp;FIXED(I28,0)&amp;" "&amp;H28&amp;" a year — worth €"&amp;FIXED(V28,0)&amp;" a year. The number is "&amp;IF(P28="Measured in our systems","measured",IF(P28="Qualified estimate","a qualified estimate","a gut feeling"))&amp;" ("&amp;J28&amp;"). Owner: "&amp;T28&amp;".")</f>
        <v/>
      </c>
      <c r="AB28" s="113" t="str">
        <f aca="false">IF(C28="","",IF(AE28="",IF(Z28="A","Solid — measured and on the bottom line. Be ready to show the source.","Be ready to show where the numbers come from."),LEFT(AE28,LEN(AE28)-3)))</f>
        <v/>
      </c>
      <c r="AC28" s="0" t="str">
        <f aca="false">IF(G28="","problem, ","")&amp;IF(H28="","what we count, ","")&amp;IF(I28="","times per year, ","")&amp;IF(J28="","source of times, ","")&amp;IF(U28="","cost each time, ","")&amp;IF(N28="","source of cost, ","")&amp;IF(O28="","share removed, ","")&amp;IF(P28="","how sure, ","")&amp;IF(Q28="","bottom line, ","")&amp;IF(R28="","shared benefit, ","")&amp;IF(AND(R28="Yes",S28=""),"which line, ","")&amp;IF(T28="","Benefit Owner, ","")</f>
        <v>problem, what we count, times per year, source of times, cost each time, source of cost, share removed, how sure, bottom line, shared benefit, Benefit Owner, </v>
      </c>
      <c r="AD28" s="0" t="str">
        <f aca="true">IF(OR(B28="",C28=""),"",IFERROR(MATCH(B28,Library!$D$5:$D$169,0)+MATCH(C28,OFFSET(Library!$E$5,MATCH(B28,Library!$D$5:$D$169,0)-1,0,COUNTIF(Library!$D$5:$D$169,B28),1),0)-1,""))</f>
        <v/>
      </c>
      <c r="AE28" s="0" t="str">
        <f aca="false">IF(C28="","",IF(O28=1,"Is removing 100% of the problem realistic? · ","")&amp;IF(AND(P28="Gut feeling",ISNUMBER(V28)),IF(V28=MAX($V$6:$V$30),"Your biggest line rests on a gut feeling — can you measure it? · ","A gut feeling — what would it take to measure it? · "),"")&amp;IF(AND(P28="Qualified estimate",ISNUMBER(V28)),IF(V28=MAX($V$6:$V$30),"Your biggest line is an estimate — can you count it in your systems? · ",""),"")&amp;IF(Q28="No","How does the time saved turn into money? · ","")&amp;IF(AND(ISNUMBER(U28),N(U28)&gt;5000),"Check the cost: is it really per occurrence? · ","")&amp;IF(AND(ISNUMBER(I28),N(I28)&gt;100000),"Check the count: is it really per year? · ","")&amp;IF(R28="Yes","Merge or remove the overlap before the CFO sees it. · ",""))</f>
        <v/>
      </c>
      <c r="AF28" s="0" t="str">
        <f aca="false">IF(ISNUMBER(X28),X28+ROW()/1000000,"")</f>
        <v/>
      </c>
    </row>
    <row r="29" customFormat="false" ht="48" hidden="false" customHeight="true" outlineLevel="0" collapsed="false">
      <c r="A29" s="103" t="s">
        <v>224</v>
      </c>
      <c r="B29" s="69"/>
      <c r="C29" s="69"/>
      <c r="D29" s="104" t="str">
        <f aca="false">IF(AD29="","",INDEX(Library!$F$5:$F$169,AD29))</f>
        <v/>
      </c>
      <c r="E29" s="104" t="str">
        <f aca="false">IF(AD29="","",TRIM(IF(INDEX(Library!$G$5:$G$169,AD29)="Yes","SEE ","")&amp;IF(INDEX(Library!$H$5:$H$169,AD29)="Yes","STEER ","")&amp;IF(INDEX(Library!$I$5:$I$169,AD29)="Yes","KEEP","")))</f>
        <v/>
      </c>
      <c r="F29" s="105" t="str">
        <f aca="false">IF(AD29="","",INDEX(Library!$J$5:$J$169,AD29)&amp;IF(INDEX(Library!$K$5:$K$169,AD29)="","",CHAR(10)&amp;"Count: "&amp;INDEX(Library!$K$5:$K$169,AD29)))</f>
        <v/>
      </c>
      <c r="G29" s="69"/>
      <c r="H29" s="69"/>
      <c r="I29" s="106"/>
      <c r="J29" s="69"/>
      <c r="K29" s="106"/>
      <c r="L29" s="106"/>
      <c r="M29" s="106"/>
      <c r="N29" s="69"/>
      <c r="O29" s="107"/>
      <c r="P29" s="69"/>
      <c r="Q29" s="69"/>
      <c r="R29" s="69"/>
      <c r="S29" s="69"/>
      <c r="T29" s="69"/>
      <c r="U29" s="108" t="str">
        <f aca="false">IF(K29&lt;&gt;"",K29,IF(AND(L29&lt;&gt;"",M29&lt;&gt;""),L29/60*M29,""))</f>
        <v/>
      </c>
      <c r="V29" s="109" t="str">
        <f aca="false">IF(OR(I29="",U29="",O29=""),"",I29*U29*O29)</f>
        <v/>
      </c>
      <c r="W29" s="110" t="str">
        <f aca="false">IF(P29="","",IFERROR(INDEX('CFO Appendix'!$B$6:$B$8,MATCH(P29,'CFO Appendix'!$A$6:$A$8,0)),""))</f>
        <v/>
      </c>
      <c r="X29" s="109" t="str">
        <f aca="false">IF(OR(V29="",W29=""),"",V29*W29)</f>
        <v/>
      </c>
      <c r="Y29" s="111" t="str">
        <f aca="false">IF(AND(B29="",C29=""),"",IF(C29="","Choose a capability",IF(AD29="","Capability not in this domain",IF(COUNTIFS($B$6:$B$30,B29,$C$6:$C$30,C29)&gt;1,"Chosen twice",IF(AC29="","Complete","Missing: "&amp;LEFT(AC29,LEN(AC29)-2))))))</f>
        <v/>
      </c>
      <c r="Z29" s="112" t="str">
        <f aca="false">IF(V29="","",IF(AND(P29="Measured in our systems",Q29="Yes"),"A",IF(P29="Gut feeling","C","B")))</f>
        <v/>
      </c>
      <c r="AA29" s="111" t="str">
        <f aca="false">IF(Y29&lt;&gt;"Complete","","We remove "&amp;FIXED(O29*100,0)&amp;"% of "&amp;FIXED(I29,0)&amp;" "&amp;H29&amp;" a year — worth €"&amp;FIXED(V29,0)&amp;" a year. The number is "&amp;IF(P29="Measured in our systems","measured",IF(P29="Qualified estimate","a qualified estimate","a gut feeling"))&amp;" ("&amp;J29&amp;"). Owner: "&amp;T29&amp;".")</f>
        <v/>
      </c>
      <c r="AB29" s="113" t="str">
        <f aca="false">IF(C29="","",IF(AE29="",IF(Z29="A","Solid — measured and on the bottom line. Be ready to show the source.","Be ready to show where the numbers come from."),LEFT(AE29,LEN(AE29)-3)))</f>
        <v/>
      </c>
      <c r="AC29" s="0" t="str">
        <f aca="false">IF(G29="","problem, ","")&amp;IF(H29="","what we count, ","")&amp;IF(I29="","times per year, ","")&amp;IF(J29="","source of times, ","")&amp;IF(U29="","cost each time, ","")&amp;IF(N29="","source of cost, ","")&amp;IF(O29="","share removed, ","")&amp;IF(P29="","how sure, ","")&amp;IF(Q29="","bottom line, ","")&amp;IF(R29="","shared benefit, ","")&amp;IF(AND(R29="Yes",S29=""),"which line, ","")&amp;IF(T29="","Benefit Owner, ","")</f>
        <v>problem, what we count, times per year, source of times, cost each time, source of cost, share removed, how sure, bottom line, shared benefit, Benefit Owner, </v>
      </c>
      <c r="AD29" s="0" t="str">
        <f aca="true">IF(OR(B29="",C29=""),"",IFERROR(MATCH(B29,Library!$D$5:$D$169,0)+MATCH(C29,OFFSET(Library!$E$5,MATCH(B29,Library!$D$5:$D$169,0)-1,0,COUNTIF(Library!$D$5:$D$169,B29),1),0)-1,""))</f>
        <v/>
      </c>
      <c r="AE29" s="0" t="str">
        <f aca="false">IF(C29="","",IF(O29=1,"Is removing 100% of the problem realistic? · ","")&amp;IF(AND(P29="Gut feeling",ISNUMBER(V29)),IF(V29=MAX($V$6:$V$30),"Your biggest line rests on a gut feeling — can you measure it? · ","A gut feeling — what would it take to measure it? · "),"")&amp;IF(AND(P29="Qualified estimate",ISNUMBER(V29)),IF(V29=MAX($V$6:$V$30),"Your biggest line is an estimate — can you count it in your systems? · ",""),"")&amp;IF(Q29="No","How does the time saved turn into money? · ","")&amp;IF(AND(ISNUMBER(U29),N(U29)&gt;5000),"Check the cost: is it really per occurrence? · ","")&amp;IF(AND(ISNUMBER(I29),N(I29)&gt;100000),"Check the count: is it really per year? · ","")&amp;IF(R29="Yes","Merge or remove the overlap before the CFO sees it. · ",""))</f>
        <v/>
      </c>
      <c r="AF29" s="0" t="str">
        <f aca="false">IF(ISNUMBER(X29),X29+ROW()/1000000,"")</f>
        <v/>
      </c>
    </row>
    <row r="30" customFormat="false" ht="48" hidden="false" customHeight="true" outlineLevel="0" collapsed="false">
      <c r="A30" s="103" t="s">
        <v>225</v>
      </c>
      <c r="B30" s="69"/>
      <c r="C30" s="69"/>
      <c r="D30" s="104" t="str">
        <f aca="false">IF(AD30="","",INDEX(Library!$F$5:$F$169,AD30))</f>
        <v/>
      </c>
      <c r="E30" s="104" t="str">
        <f aca="false">IF(AD30="","",TRIM(IF(INDEX(Library!$G$5:$G$169,AD30)="Yes","SEE ","")&amp;IF(INDEX(Library!$H$5:$H$169,AD30)="Yes","STEER ","")&amp;IF(INDEX(Library!$I$5:$I$169,AD30)="Yes","KEEP","")))</f>
        <v/>
      </c>
      <c r="F30" s="105" t="str">
        <f aca="false">IF(AD30="","",INDEX(Library!$J$5:$J$169,AD30)&amp;IF(INDEX(Library!$K$5:$K$169,AD30)="","",CHAR(10)&amp;"Count: "&amp;INDEX(Library!$K$5:$K$169,AD30)))</f>
        <v/>
      </c>
      <c r="G30" s="69"/>
      <c r="H30" s="69"/>
      <c r="I30" s="106"/>
      <c r="J30" s="69"/>
      <c r="K30" s="106"/>
      <c r="L30" s="106"/>
      <c r="M30" s="106"/>
      <c r="N30" s="69"/>
      <c r="O30" s="107"/>
      <c r="P30" s="69"/>
      <c r="Q30" s="69"/>
      <c r="R30" s="69"/>
      <c r="S30" s="69"/>
      <c r="T30" s="69"/>
      <c r="U30" s="108" t="str">
        <f aca="false">IF(K30&lt;&gt;"",K30,IF(AND(L30&lt;&gt;"",M30&lt;&gt;""),L30/60*M30,""))</f>
        <v/>
      </c>
      <c r="V30" s="109" t="str">
        <f aca="false">IF(OR(I30="",U30="",O30=""),"",I30*U30*O30)</f>
        <v/>
      </c>
      <c r="W30" s="110" t="str">
        <f aca="false">IF(P30="","",IFERROR(INDEX('CFO Appendix'!$B$6:$B$8,MATCH(P30,'CFO Appendix'!$A$6:$A$8,0)),""))</f>
        <v/>
      </c>
      <c r="X30" s="109" t="str">
        <f aca="false">IF(OR(V30="",W30=""),"",V30*W30)</f>
        <v/>
      </c>
      <c r="Y30" s="111" t="str">
        <f aca="false">IF(AND(B30="",C30=""),"",IF(C30="","Choose a capability",IF(AD30="","Capability not in this domain",IF(COUNTIFS($B$6:$B$30,B30,$C$6:$C$30,C30)&gt;1,"Chosen twice",IF(AC30="","Complete","Missing: "&amp;LEFT(AC30,LEN(AC30)-2))))))</f>
        <v/>
      </c>
      <c r="Z30" s="112" t="str">
        <f aca="false">IF(V30="","",IF(AND(P30="Measured in our systems",Q30="Yes"),"A",IF(P30="Gut feeling","C","B")))</f>
        <v/>
      </c>
      <c r="AA30" s="111" t="str">
        <f aca="false">IF(Y30&lt;&gt;"Complete","","We remove "&amp;FIXED(O30*100,0)&amp;"% of "&amp;FIXED(I30,0)&amp;" "&amp;H30&amp;" a year — worth €"&amp;FIXED(V30,0)&amp;" a year. The number is "&amp;IF(P30="Measured in our systems","measured",IF(P30="Qualified estimate","a qualified estimate","a gut feeling"))&amp;" ("&amp;J30&amp;"). Owner: "&amp;T30&amp;".")</f>
        <v/>
      </c>
      <c r="AB30" s="113" t="str">
        <f aca="false">IF(C30="","",IF(AE30="",IF(Z30="A","Solid — measured and on the bottom line. Be ready to show the source.","Be ready to show where the numbers come from."),LEFT(AE30,LEN(AE30)-3)))</f>
        <v/>
      </c>
      <c r="AC30" s="0" t="str">
        <f aca="false">IF(G30="","problem, ","")&amp;IF(H30="","what we count, ","")&amp;IF(I30="","times per year, ","")&amp;IF(J30="","source of times, ","")&amp;IF(U30="","cost each time, ","")&amp;IF(N30="","source of cost, ","")&amp;IF(O30="","share removed, ","")&amp;IF(P30="","how sure, ","")&amp;IF(Q30="","bottom line, ","")&amp;IF(R30="","shared benefit, ","")&amp;IF(AND(R30="Yes",S30=""),"which line, ","")&amp;IF(T30="","Benefit Owner, ","")</f>
        <v>problem, what we count, times per year, source of times, cost each time, source of cost, share removed, how sure, bottom line, shared benefit, Benefit Owner, </v>
      </c>
      <c r="AD30" s="0" t="str">
        <f aca="true">IF(OR(B30="",C30=""),"",IFERROR(MATCH(B30,Library!$D$5:$D$169,0)+MATCH(C30,OFFSET(Library!$E$5,MATCH(B30,Library!$D$5:$D$169,0)-1,0,COUNTIF(Library!$D$5:$D$169,B30),1),0)-1,""))</f>
        <v/>
      </c>
      <c r="AE30" s="0" t="str">
        <f aca="false">IF(C30="","",IF(O30=1,"Is removing 100% of the problem realistic? · ","")&amp;IF(AND(P30="Gut feeling",ISNUMBER(V30)),IF(V30=MAX($V$6:$V$30),"Your biggest line rests on a gut feeling — can you measure it? · ","A gut feeling — what would it take to measure it? · "),"")&amp;IF(AND(P30="Qualified estimate",ISNUMBER(V30)),IF(V30=MAX($V$6:$V$30),"Your biggest line is an estimate — can you count it in your systems? · ",""),"")&amp;IF(Q30="No","How does the time saved turn into money? · ","")&amp;IF(AND(ISNUMBER(U30),N(U30)&gt;5000),"Check the cost: is it really per occurrence? · ","")&amp;IF(AND(ISNUMBER(I30),N(I30)&gt;100000),"Check the count: is it really per year? · ","")&amp;IF(R30="Yes","Merge or remove the overlap before the CFO sees it. · ",""))</f>
        <v/>
      </c>
      <c r="AF30" s="0" t="str">
        <f aca="false">IF(ISNUMBER(X30),X30+ROW()/1000000,"")</f>
        <v/>
      </c>
    </row>
    <row r="31" customFormat="false" ht="15" hidden="false" customHeight="false" outlineLevel="0" collapsed="false">
      <c r="C31" s="114" t="s">
        <v>226</v>
      </c>
      <c r="V31" s="115" t="n">
        <f aca="false">SUM(V6:V30)</f>
        <v>0</v>
      </c>
      <c r="X31" s="115" t="n">
        <f aca="false">SUM(X6:X30)</f>
        <v>0</v>
      </c>
    </row>
  </sheetData>
  <sheetProtection sheet="true" formatColumns="false" formatRows="false"/>
  <mergeCells count="12">
    <mergeCell ref="A2:B2"/>
    <mergeCell ref="G2:J2"/>
    <mergeCell ref="K2:T3"/>
    <mergeCell ref="A3:B3"/>
    <mergeCell ref="G3:J3"/>
    <mergeCell ref="B4:F4"/>
    <mergeCell ref="G4:H4"/>
    <mergeCell ref="I4:J4"/>
    <mergeCell ref="K4:N4"/>
    <mergeCell ref="O4:P4"/>
    <mergeCell ref="Q4:S4"/>
    <mergeCell ref="U4:AB4"/>
  </mergeCells>
  <conditionalFormatting sqref="Y6:Y30">
    <cfRule type="expression" priority="2" aboveAverage="0" equalAverage="0" bottom="0" percent="0" rank="0" text="" dxfId="7">
      <formula>Y6="Complete"</formula>
    </cfRule>
    <cfRule type="expression" priority="3" aboveAverage="0" equalAverage="0" bottom="0" percent="0" rank="0" text="" dxfId="8">
      <formula>LEFT(Y6,7)="Missing"</formula>
    </cfRule>
    <cfRule type="expression" priority="4" aboveAverage="0" equalAverage="0" bottom="0" percent="0" rank="0" text="" dxfId="4">
      <formula>OR(Y6="Choose a capability",Y6="Capability not in this domain",Y6="Chosen twice")</formula>
    </cfRule>
  </conditionalFormatting>
  <conditionalFormatting sqref="V6:V30">
    <cfRule type="dataBar" priority="5">
      <dataBar showValue="1" minLength="10" maxLength="90">
        <cfvo type="num" val="0"/>
        <cfvo type="max" val="0"/>
        <color rgb="FF1478C5"/>
      </dataBar>
      <extLst>
        <ext xmlns:x14="http://schemas.microsoft.com/office/spreadsheetml/2009/9/main" uri="{B025F937-C7B1-47D3-B67F-A62EFF666E3E}">
          <x14:id>{477F37D0-BC10-41B4-8FD0-52B79C7DAB6A}</x14:id>
        </ext>
      </extLst>
    </cfRule>
  </conditionalFormatting>
  <conditionalFormatting sqref="Z6:Z30">
    <cfRule type="expression" priority="6" aboveAverage="0" equalAverage="0" bottom="0" percent="0" rank="0" text="" dxfId="3">
      <formula>Z6="A"</formula>
    </cfRule>
    <cfRule type="expression" priority="7" aboveAverage="0" equalAverage="0" bottom="0" percent="0" rank="0" text="" dxfId="1">
      <formula>Z6="B"</formula>
    </cfRule>
    <cfRule type="expression" priority="8" aboveAverage="0" equalAverage="0" bottom="0" percent="0" rank="0" text="" dxfId="4">
      <formula>Z6="C"</formula>
    </cfRule>
  </conditionalFormatting>
  <dataValidations count="16">
    <dataValidation allowBlank="true" errorStyle="stop" operator="between" prompt="Choose the domain first. The capability list in the next column then shows only that domain." promptTitle="Step 1" showDropDown="false" showErrorMessage="false" showInputMessage="true" sqref="B6:B30" type="list">
      <formula1>Library!$Q$5:$Q$15</formula1>
      <formula2>0</formula2>
    </dataValidation>
    <dataValidation allowBlank="true" errorStyle="stop" operator="between" prompt="Choose a capability. Choose the domain first — the list follows it." promptTitle="Step 1" showDropDown="false" showErrorMessage="false" showInputMessage="true" sqref="C6:C30" type="list">
      <formula1>OFFSET(Library!$E$5,MATCH($B6,Library!$D$5:$D$169,0)-1,0,COUNTIF(Library!$D$5:$D$169,$B6),1)</formula1>
      <formula2>0</formula2>
    </dataValidation>
    <dataValidation allowBlank="true" errorStyle="stop" operator="between" prompt="Measured in our systems = counted in full. Qualified estimate = 70%. Gut feeling = 40%." promptTitle="Step 5" showDropDown="false" showErrorMessage="false" showInputMessage="true" sqref="P6:P30" type="list">
      <formula1>"Measured in our systems,Qualified estimate,Gut feeling"</formula1>
      <formula2>0</formula2>
    </dataValidation>
    <dataValidation allowBlank="true" errorStyle="stop" operator="between" prompt="Yes if the saving will show up in the accounts. No if it is real but indirect, e.g. time freed up." promptTitle="Step 6" showDropDown="false" showErrorMessage="false" showInputMessage="true" sqref="Q6:Q30" type="list">
      <formula1>"Yes,No"</formula1>
      <formula2>0</formula2>
    </dataValidation>
    <dataValidation allowBlank="true" errorStyle="stop" operator="between" prompt="Does another line claim the same saving? If yes, merge or remove one before the CFO sees it." promptTitle="Step 6" showDropDown="false" showErrorMessage="false" showInputMessage="true" sqref="R6:R30" type="list">
      <formula1>"Yes,No"</formula1>
      <formula2>0</formula2>
    </dataValidation>
    <dataValidation allowBlank="true" error="Please enter a number (0 or more)." errorStyle="stop" errorTitle="Number needed" operator="greaterThanOrEqual" prompt="How many times does it happen per year today? Count the last 12 months if you can." promptTitle="Step 3" showDropDown="false" showErrorMessage="true" showInputMessage="true" sqref="I6:I30" type="decimal">
      <formula1>0</formula1>
      <formula2>0</formula2>
    </dataValidation>
    <dataValidation allowBlank="true" error="Please enter a number (0 or more)." errorStyle="stop" errorTitle="Number needed" operator="greaterThanOrEqual" prompt="What does it cost each time, in EUR? If it is mostly time, leave this blank and fill in minutes and hourly rate instead." promptTitle="Step 4" showDropDown="false" showErrorMessage="true" showInputMessage="true" sqref="K6:K30" type="decimal">
      <formula1>0</formula1>
      <formula2>0</formula2>
    </dataValidation>
    <dataValidation allowBlank="true" error="Please enter a number (0 or more)." errorStyle="stop" errorTitle="Number needed" operator="greaterThanOrEqual" prompt="Optional: minutes spent each time. Used only if the cost column is blank." promptTitle="Step 4" showDropDown="false" showErrorMessage="true" showInputMessage="true" sqref="L6:L30" type="decimal">
      <formula1>0</formula1>
      <formula2>0</formula2>
    </dataValidation>
    <dataValidation allowBlank="true" error="Please enter a number (0 or more)." errorStyle="stop" errorTitle="Number needed" operator="greaterThanOrEqual" prompt="Optional: fully-loaded hourly rate in EUR (salary + overhead)." promptTitle="Step 4" showDropDown="false" showErrorMessage="true" showInputMessage="true" sqref="M6:M30" type="decimal">
      <formula1>0</formula1>
      <formula2>0</formula2>
    </dataValidation>
    <dataValidation allowBlank="true" error="Enter a percentage between 0% and 100%, e.g. 70%." errorStyle="stop" errorTitle="Percentage needed" operator="between" prompt="How much of the problem will the solution remove? Rarely 100%. E.g. 70%." promptTitle="Step 5" showDropDown="false" showErrorMessage="true" showInputMessage="true" sqref="O6:O30" type="decimal">
      <formula1>0</formula1>
      <formula2>1</formula2>
    </dataValidation>
    <dataValidation allowBlank="true" errorStyle="stop" operator="between" prompt="Describe the problem in plain words, as you would explain it to a colleague. Use the Library suggestion as a start." promptTitle="Step 2" showDropDown="false" showErrorMessage="false" showInputMessage="true" sqref="G6:G30" type="none">
      <formula1>0</formula1>
      <formula2>0</formula2>
    </dataValidation>
    <dataValidation allowBlank="true" errorStyle="stop" operator="between" prompt="What exactly do you count? E.g. 'blocked invoices', 'duplicate customers', 'manual corrections'." promptTitle="Step 2" showDropDown="false" showErrorMessage="false" showInputMessage="true" sqref="H6:H30" type="none">
      <formula1>0</formula1>
      <formula2>0</formula2>
    </dataValidation>
    <dataValidation allowBlank="true" errorStyle="stop" operator="between" prompt="Where does the number come from? E.g. 'SAP log, last 12 months' or 'estimate from team lead'." promptTitle="Step 3" showDropDown="false" showErrorMessage="false" showInputMessage="true" sqref="J6:J30" type="none">
      <formula1>0</formula1>
      <formula2>0</formula2>
    </dataValidation>
    <dataValidation allowBlank="true" errorStyle="stop" operator="between" prompt="Where does the cost come from? E.g. 'Finance', 'time study', 'rate card'." promptTitle="Step 4" showDropDown="false" showErrorMessage="false" showInputMessage="true" sqref="N6:N30" type="none">
      <formula1>0</formula1>
      <formula2>0</formula2>
    </dataValidation>
    <dataValidation allowBlank="true" errorStyle="stop" operator="between" prompt="Which line, and why? Needed only if you answered Yes." promptTitle="Step 6" showDropDown="false" showErrorMessage="false" showInputMessage="true" sqref="S6:S30" type="none">
      <formula1>0</formula1>
      <formula2>0</formula2>
    </dataValidation>
    <dataValidation allowBlank="true" errorStyle="stop" operator="between" prompt="The person in the business who owns this benefit and stands behind it." promptTitle="Step 7" showDropDown="false" showErrorMessage="false" showInputMessage="true" sqref="T6:T30" type="none">
      <formula1>0</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BenefitPartner · The Business Case Method&amp;R&amp;8 benefitpartner.dk · &amp;P / &amp;N</oddFooter>
  </headerFooter>
  <drawing r:id="rId1"/>
  <extLst>
    <ext xmlns:x14="http://schemas.microsoft.com/office/spreadsheetml/2009/9/main" uri="{78C0D931-6437-407d-A8EE-F0AAD7539E65}">
      <x14:conditionalFormattings>
        <x14:conditionalFormatting xmlns:xm="http://schemas.microsoft.com/office/excel/2006/main">
          <x14:cfRule type="dataBar" id="{477F37D0-BC10-41B4-8FD0-52B79C7DAB6A}">
            <x14:dataBar minLength="10" maxLength="90" axisPosition="none" gradient="true">
              <x14:cfvo type="num">
                <xm:f>0</xm:f>
              </x14:cfvo>
              <x14:cfvo type="max"/>
              <x14:negativeFillColor rgb="FF1478C5"/>
              <x14:axisColor rgb="FF000000"/>
            </x14:dataBar>
          </x14:cfRule>
          <xm:sqref>V6:V30</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34"/>
    <col collapsed="false" customWidth="true" hidden="false" outlineLevel="0" max="3" min="3" style="0" width="16"/>
    <col collapsed="false" customWidth="true" hidden="false" outlineLevel="0" max="4" min="4" style="0" width="22"/>
    <col collapsed="false" customWidth="true" hidden="false" outlineLevel="0" max="5" min="5" style="0" width="18"/>
  </cols>
  <sheetData>
    <row r="1" customFormat="false" ht="54" hidden="false" customHeight="true" outlineLevel="0" collapsed="false">
      <c r="A1" s="1" t="s">
        <v>227</v>
      </c>
      <c r="E1" s="35" t="str">
        <f aca="false">HYPERLINK("#'Start Here'!A4","← Case Map")</f>
        <v>← Case Map</v>
      </c>
    </row>
    <row r="2" customFormat="false" ht="15" hidden="false" customHeight="false" outlineLevel="0" collapsed="false">
      <c r="A2" s="2" t="s">
        <v>228</v>
      </c>
    </row>
    <row r="4" customFormat="false" ht="15" hidden="false" customHeight="false" outlineLevel="0" collapsed="false">
      <c r="A4" s="3" t="s">
        <v>229</v>
      </c>
      <c r="B4" s="4"/>
      <c r="C4" s="4"/>
      <c r="D4" s="4"/>
      <c r="E4" s="4"/>
    </row>
    <row r="5" customFormat="false" ht="15" hidden="false" customHeight="false" outlineLevel="0" collapsed="false">
      <c r="A5" s="5" t="s">
        <v>230</v>
      </c>
      <c r="B5" s="5" t="s">
        <v>231</v>
      </c>
      <c r="C5" s="5" t="s">
        <v>232</v>
      </c>
      <c r="D5" s="5" t="s">
        <v>233</v>
      </c>
      <c r="E5" s="5" t="s">
        <v>234</v>
      </c>
    </row>
    <row r="6" customFormat="false" ht="15" hidden="false" customHeight="false" outlineLevel="0" collapsed="false">
      <c r="A6" s="68" t="s">
        <v>235</v>
      </c>
      <c r="B6" s="68" t="s">
        <v>236</v>
      </c>
      <c r="C6" s="69" t="s">
        <v>237</v>
      </c>
      <c r="D6" s="109" t="n">
        <v>40000</v>
      </c>
      <c r="E6" s="109" t="n">
        <f aca="false">IF(C6="Yes",D6/'CFO Appendix'!$B$14,0)</f>
        <v>0</v>
      </c>
    </row>
    <row r="7" customFormat="false" ht="15" hidden="false" customHeight="false" outlineLevel="0" collapsed="false">
      <c r="A7" s="68" t="s">
        <v>238</v>
      </c>
      <c r="B7" s="68" t="s">
        <v>239</v>
      </c>
      <c r="C7" s="69" t="s">
        <v>237</v>
      </c>
      <c r="D7" s="109" t="n">
        <v>60000</v>
      </c>
      <c r="E7" s="109" t="n">
        <f aca="false">IF(C7="Yes",D7/'CFO Appendix'!$B$14,0)</f>
        <v>0</v>
      </c>
    </row>
    <row r="8" customFormat="false" ht="15" hidden="false" customHeight="false" outlineLevel="0" collapsed="false">
      <c r="A8" s="68" t="s">
        <v>240</v>
      </c>
      <c r="B8" s="68" t="s">
        <v>241</v>
      </c>
      <c r="C8" s="69" t="s">
        <v>237</v>
      </c>
      <c r="D8" s="109" t="n">
        <v>80000</v>
      </c>
      <c r="E8" s="109" t="n">
        <f aca="false">IF(C8="Yes",D8/'CFO Appendix'!$B$14,0)</f>
        <v>0</v>
      </c>
    </row>
    <row r="9" customFormat="false" ht="15" hidden="false" customHeight="false" outlineLevel="0" collapsed="false">
      <c r="A9" s="68" t="s">
        <v>242</v>
      </c>
      <c r="B9" s="68" t="s">
        <v>243</v>
      </c>
      <c r="C9" s="69" t="s">
        <v>237</v>
      </c>
      <c r="D9" s="109" t="n">
        <v>60000</v>
      </c>
      <c r="E9" s="109" t="n">
        <f aca="false">IF(C9="Yes",D9/'CFO Appendix'!$B$14,0)</f>
        <v>0</v>
      </c>
    </row>
    <row r="10" customFormat="false" ht="15" hidden="false" customHeight="false" outlineLevel="0" collapsed="false">
      <c r="A10" s="114" t="s">
        <v>244</v>
      </c>
      <c r="E10" s="115" t="n">
        <f aca="false">SUM(E6:E9)</f>
        <v>0</v>
      </c>
    </row>
    <row r="11" customFormat="false" ht="24" hidden="false" customHeight="true" outlineLevel="0" collapsed="false">
      <c r="A11" s="116" t="s">
        <v>245</v>
      </c>
      <c r="B11" s="116"/>
      <c r="C11" s="116"/>
      <c r="D11" s="116"/>
      <c r="E11" s="116"/>
    </row>
    <row r="12" customFormat="false" ht="15" hidden="false" customHeight="false" outlineLevel="0" collapsed="false">
      <c r="A12" s="3" t="s">
        <v>246</v>
      </c>
      <c r="B12" s="4"/>
      <c r="C12" s="4"/>
      <c r="D12" s="4"/>
      <c r="E12" s="4"/>
    </row>
    <row r="13" customFormat="false" ht="22.35" hidden="false" customHeight="false" outlineLevel="0" collapsed="false">
      <c r="A13" s="5" t="s">
        <v>247</v>
      </c>
      <c r="B13" s="5" t="s">
        <v>248</v>
      </c>
      <c r="C13" s="5" t="s">
        <v>249</v>
      </c>
      <c r="D13" s="5" t="s">
        <v>250</v>
      </c>
      <c r="E13" s="5" t="s">
        <v>251</v>
      </c>
    </row>
    <row r="14" customFormat="false" ht="15" hidden="false" customHeight="false" outlineLevel="0" collapsed="false">
      <c r="A14" s="68" t="s">
        <v>63</v>
      </c>
      <c r="B14" s="106"/>
      <c r="C14" s="106"/>
      <c r="D14" s="106"/>
      <c r="E14" s="109" t="n">
        <f aca="false">B14*C14*D14</f>
        <v>0</v>
      </c>
    </row>
    <row r="15" customFormat="false" ht="15" hidden="false" customHeight="false" outlineLevel="0" collapsed="false">
      <c r="A15" s="68" t="s">
        <v>65</v>
      </c>
      <c r="B15" s="106"/>
      <c r="C15" s="106"/>
      <c r="D15" s="106"/>
      <c r="E15" s="109" t="n">
        <f aca="false">B15*C15*D15</f>
        <v>0</v>
      </c>
    </row>
    <row r="16" customFormat="false" ht="15" hidden="false" customHeight="false" outlineLevel="0" collapsed="false">
      <c r="A16" s="68" t="s">
        <v>252</v>
      </c>
      <c r="B16" s="106"/>
      <c r="C16" s="106"/>
      <c r="D16" s="106"/>
      <c r="E16" s="109" t="n">
        <f aca="false">B16*C16*D16</f>
        <v>0</v>
      </c>
    </row>
    <row r="17" customFormat="false" ht="15" hidden="false" customHeight="false" outlineLevel="0" collapsed="false">
      <c r="A17" s="68" t="s">
        <v>253</v>
      </c>
      <c r="B17" s="106"/>
      <c r="C17" s="106"/>
      <c r="D17" s="106"/>
      <c r="E17" s="109" t="n">
        <f aca="false">B17*C17*D17</f>
        <v>0</v>
      </c>
    </row>
    <row r="18" customFormat="false" ht="15" hidden="false" customHeight="false" outlineLevel="0" collapsed="false">
      <c r="A18" s="114" t="s">
        <v>254</v>
      </c>
      <c r="E18" s="115" t="n">
        <f aca="false">SUM(E14:E17)</f>
        <v>0</v>
      </c>
    </row>
    <row r="20" customFormat="false" ht="15" hidden="false" customHeight="false" outlineLevel="0" collapsed="false">
      <c r="A20" s="3" t="s">
        <v>255</v>
      </c>
      <c r="B20" s="4"/>
      <c r="C20" s="4"/>
      <c r="D20" s="4"/>
      <c r="E20" s="4"/>
    </row>
    <row r="21" customFormat="false" ht="15" hidden="false" customHeight="false" outlineLevel="0" collapsed="false">
      <c r="A21" s="5" t="s">
        <v>256</v>
      </c>
      <c r="B21" s="5"/>
      <c r="C21" s="5"/>
      <c r="D21" s="5"/>
      <c r="E21" s="5" t="s">
        <v>257</v>
      </c>
    </row>
    <row r="22" customFormat="false" ht="15" hidden="false" customHeight="false" outlineLevel="0" collapsed="false">
      <c r="A22" s="68" t="s">
        <v>258</v>
      </c>
      <c r="E22" s="106"/>
    </row>
    <row r="23" customFormat="false" ht="15" hidden="false" customHeight="false" outlineLevel="0" collapsed="false">
      <c r="A23" s="68" t="s">
        <v>259</v>
      </c>
      <c r="E23" s="106"/>
    </row>
    <row r="24" customFormat="false" ht="15" hidden="false" customHeight="false" outlineLevel="0" collapsed="false">
      <c r="A24" s="68" t="s">
        <v>260</v>
      </c>
      <c r="E24" s="106"/>
    </row>
    <row r="25" customFormat="false" ht="15" hidden="false" customHeight="false" outlineLevel="0" collapsed="false">
      <c r="A25" s="114" t="s">
        <v>261</v>
      </c>
      <c r="E25" s="115" t="n">
        <f aca="false">SUM(E22:E24)</f>
        <v>0</v>
      </c>
    </row>
    <row r="27" customFormat="false" ht="15" hidden="false" customHeight="false" outlineLevel="0" collapsed="false">
      <c r="A27" s="3" t="s">
        <v>262</v>
      </c>
      <c r="B27" s="4"/>
      <c r="C27" s="4"/>
      <c r="D27" s="4"/>
      <c r="E27" s="4"/>
    </row>
    <row r="28" customFormat="false" ht="22.35" hidden="false" customHeight="false" outlineLevel="0" collapsed="false">
      <c r="A28" s="5" t="s">
        <v>256</v>
      </c>
      <c r="B28" s="5"/>
      <c r="C28" s="5"/>
      <c r="D28" s="5"/>
      <c r="E28" s="5" t="s">
        <v>263</v>
      </c>
    </row>
    <row r="29" customFormat="false" ht="15" hidden="false" customHeight="false" outlineLevel="0" collapsed="false">
      <c r="A29" s="68" t="s">
        <v>264</v>
      </c>
      <c r="E29" s="106"/>
    </row>
    <row r="30" customFormat="false" ht="15" hidden="false" customHeight="false" outlineLevel="0" collapsed="false">
      <c r="A30" s="68" t="s">
        <v>265</v>
      </c>
      <c r="E30" s="106"/>
    </row>
    <row r="31" customFormat="false" ht="15" hidden="false" customHeight="false" outlineLevel="0" collapsed="false">
      <c r="A31" s="68" t="s">
        <v>260</v>
      </c>
      <c r="E31" s="106"/>
    </row>
    <row r="32" customFormat="false" ht="15" hidden="false" customHeight="false" outlineLevel="0" collapsed="false">
      <c r="A32" s="114" t="s">
        <v>266</v>
      </c>
      <c r="E32" s="115" t="n">
        <f aca="false">SUM(E29:E31)</f>
        <v>0</v>
      </c>
    </row>
    <row r="34" customFormat="false" ht="15" hidden="false" customHeight="false" outlineLevel="0" collapsed="false">
      <c r="A34" s="3" t="s">
        <v>267</v>
      </c>
      <c r="B34" s="4"/>
      <c r="C34" s="4"/>
      <c r="D34" s="4"/>
      <c r="E34" s="4"/>
    </row>
    <row r="35" customFormat="false" ht="15" hidden="false" customHeight="false" outlineLevel="0" collapsed="false">
      <c r="A35" s="81" t="s">
        <v>268</v>
      </c>
      <c r="E35" s="115" t="n">
        <f aca="false">E10+E18+E25</f>
        <v>0</v>
      </c>
    </row>
    <row r="36" customFormat="false" ht="15" hidden="false" customHeight="false" outlineLevel="0" collapsed="false">
      <c r="A36" s="81" t="s">
        <v>269</v>
      </c>
      <c r="E36" s="115" t="n">
        <f aca="false">E32</f>
        <v>0</v>
      </c>
    </row>
    <row r="37" customFormat="false" ht="15" hidden="false" customHeight="false" outlineLevel="0" collapsed="false">
      <c r="A37" s="81" t="s">
        <v>270</v>
      </c>
      <c r="E37" s="115" t="n">
        <f aca="false">E35+3*E36</f>
        <v>0</v>
      </c>
    </row>
  </sheetData>
  <sheetProtection sheet="true" formatColumns="false" formatRows="false"/>
  <mergeCells count="1">
    <mergeCell ref="A11:E11"/>
  </mergeCells>
  <dataValidations count="1">
    <dataValidation allowBlank="true" errorStyle="stop" operator="between" showDropDown="false" showErrorMessage="false" showInputMessage="false" sqref="C6:C9" type="list">
      <formula1>"Yes,No"</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BenefitPartner · The Business Case Method&amp;R&amp;8 benefitpartner.dk · &amp;P / &amp;N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5" min="2" style="0" width="18"/>
    <col collapsed="false" customWidth="true" hidden="false" outlineLevel="0" max="6" min="6" style="0" width="4"/>
  </cols>
  <sheetData>
    <row r="1" customFormat="false" ht="54" hidden="false" customHeight="true" outlineLevel="0" collapsed="false">
      <c r="A1" s="1" t="s">
        <v>271</v>
      </c>
      <c r="E1" s="35" t="str">
        <f aca="false">HYPERLINK("#'Start Here'!A4","← Case Map")</f>
        <v>← Case Map</v>
      </c>
    </row>
    <row r="2" customFormat="false" ht="15" hidden="false" customHeight="false" outlineLevel="0" collapsed="false">
      <c r="A2" s="2" t="s">
        <v>272</v>
      </c>
    </row>
    <row r="4" customFormat="false" ht="15" hidden="false" customHeight="false" outlineLevel="0" collapsed="false">
      <c r="A4" s="3" t="s">
        <v>273</v>
      </c>
      <c r="B4" s="4"/>
      <c r="C4" s="4"/>
      <c r="D4" s="4"/>
      <c r="E4" s="4"/>
      <c r="F4" s="4"/>
    </row>
    <row r="5" customFormat="false" ht="15" hidden="false" customHeight="false" outlineLevel="0" collapsed="false">
      <c r="A5" s="5" t="s">
        <v>274</v>
      </c>
      <c r="B5" s="5" t="s">
        <v>275</v>
      </c>
      <c r="C5" s="5" t="s">
        <v>82</v>
      </c>
    </row>
    <row r="6" customFormat="false" ht="30" hidden="false" customHeight="true" outlineLevel="0" collapsed="false">
      <c r="A6" s="88" t="s">
        <v>276</v>
      </c>
      <c r="B6" s="107" t="n">
        <v>1</v>
      </c>
      <c r="C6" s="83" t="s">
        <v>277</v>
      </c>
      <c r="D6" s="83"/>
      <c r="E6" s="83"/>
    </row>
    <row r="7" customFormat="false" ht="30" hidden="false" customHeight="true" outlineLevel="0" collapsed="false">
      <c r="A7" s="88" t="s">
        <v>278</v>
      </c>
      <c r="B7" s="107" t="n">
        <v>0.7</v>
      </c>
      <c r="C7" s="83" t="s">
        <v>279</v>
      </c>
      <c r="D7" s="83"/>
      <c r="E7" s="83"/>
    </row>
    <row r="8" customFormat="false" ht="30" hidden="false" customHeight="true" outlineLevel="0" collapsed="false">
      <c r="A8" s="88" t="s">
        <v>280</v>
      </c>
      <c r="B8" s="107" t="n">
        <v>0.4</v>
      </c>
      <c r="C8" s="83" t="s">
        <v>281</v>
      </c>
      <c r="D8" s="83"/>
      <c r="E8" s="83"/>
    </row>
    <row r="9" customFormat="false" ht="30" hidden="false" customHeight="true" outlineLevel="0" collapsed="false">
      <c r="A9" s="88" t="s">
        <v>282</v>
      </c>
      <c r="B9" s="107" t="n">
        <v>0.4</v>
      </c>
      <c r="C9" s="83" t="s">
        <v>283</v>
      </c>
      <c r="D9" s="83"/>
      <c r="E9" s="83"/>
    </row>
    <row r="10" customFormat="false" ht="30" hidden="false" customHeight="true" outlineLevel="0" collapsed="false">
      <c r="A10" s="88" t="s">
        <v>284</v>
      </c>
      <c r="B10" s="107" t="n">
        <v>0.75</v>
      </c>
      <c r="C10" s="83" t="s">
        <v>285</v>
      </c>
      <c r="D10" s="83"/>
      <c r="E10" s="83"/>
    </row>
    <row r="11" customFormat="false" ht="30" hidden="false" customHeight="true" outlineLevel="0" collapsed="false">
      <c r="A11" s="88" t="s">
        <v>286</v>
      </c>
      <c r="B11" s="107" t="n">
        <v>1</v>
      </c>
      <c r="C11" s="83" t="s">
        <v>287</v>
      </c>
      <c r="D11" s="83"/>
      <c r="E11" s="83"/>
    </row>
    <row r="12" customFormat="false" ht="30" hidden="false" customHeight="true" outlineLevel="0" collapsed="false">
      <c r="A12" s="88" t="s">
        <v>288</v>
      </c>
      <c r="B12" s="107" t="n">
        <v>0.2</v>
      </c>
      <c r="C12" s="83" t="s">
        <v>289</v>
      </c>
      <c r="D12" s="83"/>
      <c r="E12" s="83"/>
    </row>
    <row r="13" customFormat="false" ht="30" hidden="false" customHeight="true" outlineLevel="0" collapsed="false">
      <c r="A13" s="88" t="s">
        <v>290</v>
      </c>
      <c r="B13" s="117" t="n">
        <v>24</v>
      </c>
      <c r="C13" s="83" t="s">
        <v>291</v>
      </c>
      <c r="D13" s="83"/>
      <c r="E13" s="83"/>
    </row>
    <row r="14" customFormat="false" ht="30" hidden="false" customHeight="true" outlineLevel="0" collapsed="false">
      <c r="A14" s="88" t="s">
        <v>292</v>
      </c>
      <c r="B14" s="118" t="n">
        <v>7.46</v>
      </c>
      <c r="C14" s="83" t="s">
        <v>293</v>
      </c>
      <c r="D14" s="83"/>
      <c r="E14" s="83"/>
    </row>
    <row r="16" customFormat="false" ht="15" hidden="false" customHeight="false" outlineLevel="0" collapsed="false">
      <c r="A16" s="3" t="s">
        <v>294</v>
      </c>
      <c r="B16" s="4"/>
      <c r="C16" s="4"/>
      <c r="D16" s="4"/>
      <c r="E16" s="4"/>
      <c r="F16" s="4"/>
    </row>
    <row r="17" customFormat="false" ht="51.75" hidden="false" customHeight="true" outlineLevel="0" collapsed="false">
      <c r="A17" s="119" t="s">
        <v>295</v>
      </c>
      <c r="B17" s="119"/>
      <c r="C17" s="119"/>
      <c r="D17" s="119"/>
      <c r="E17" s="119"/>
      <c r="F17" s="119"/>
    </row>
    <row r="18" customFormat="false" ht="15" hidden="false" customHeight="false" outlineLevel="0" collapsed="false">
      <c r="A18" s="5" t="s">
        <v>296</v>
      </c>
      <c r="B18" s="5" t="s">
        <v>83</v>
      </c>
      <c r="C18" s="5" t="s">
        <v>85</v>
      </c>
      <c r="D18" s="5" t="s">
        <v>87</v>
      </c>
      <c r="E18" s="5" t="s">
        <v>89</v>
      </c>
    </row>
    <row r="19" customFormat="false" ht="23.85" hidden="false" customHeight="false" outlineLevel="0" collapsed="false">
      <c r="A19" s="68" t="s">
        <v>297</v>
      </c>
      <c r="B19" s="104" t="s">
        <v>298</v>
      </c>
      <c r="C19" s="104" t="s">
        <v>299</v>
      </c>
      <c r="D19" s="104" t="s">
        <v>300</v>
      </c>
      <c r="E19" s="104" t="s">
        <v>301</v>
      </c>
    </row>
    <row r="20" customFormat="false" ht="15" hidden="false" customHeight="false" outlineLevel="0" collapsed="false">
      <c r="A20" s="68" t="s">
        <v>112</v>
      </c>
      <c r="B20" s="115" t="n">
        <f aca="false">SUMIFS('Your Case'!$V$6:$V$30,'Your Case'!$Q$6:$Q$30,"Yes",'Your Case'!$P$6:$P$30,$A$6)</f>
        <v>0</v>
      </c>
      <c r="C20" s="115" t="n">
        <f aca="false">SUM('Your Case'!$X$6:$X$30)</f>
        <v>0</v>
      </c>
      <c r="D20" s="115" t="n">
        <f aca="false">SUM('Your Case'!$V$6:$V$30)</f>
        <v>0</v>
      </c>
      <c r="E20" s="115" t="n">
        <f aca="false">C20*(1-$B$12)</f>
        <v>0</v>
      </c>
    </row>
    <row r="21" customFormat="false" ht="15" hidden="false" customHeight="false" outlineLevel="0" collapsed="false">
      <c r="A21" s="68" t="s">
        <v>302</v>
      </c>
      <c r="B21" s="109" t="n">
        <f aca="false">B20*$B$9</f>
        <v>0</v>
      </c>
      <c r="C21" s="109" t="n">
        <f aca="false">C20*$B$9</f>
        <v>0</v>
      </c>
      <c r="D21" s="109" t="n">
        <f aca="false">D20*$B$9</f>
        <v>0</v>
      </c>
      <c r="E21" s="109" t="n">
        <f aca="false">E20*$B$9</f>
        <v>0</v>
      </c>
    </row>
    <row r="22" customFormat="false" ht="15" hidden="false" customHeight="false" outlineLevel="0" collapsed="false">
      <c r="A22" s="68" t="s">
        <v>303</v>
      </c>
      <c r="B22" s="109" t="n">
        <f aca="false">B20*$B$10</f>
        <v>0</v>
      </c>
      <c r="C22" s="109" t="n">
        <f aca="false">C20*$B$10</f>
        <v>0</v>
      </c>
      <c r="D22" s="109" t="n">
        <f aca="false">D20*$B$10</f>
        <v>0</v>
      </c>
      <c r="E22" s="109" t="n">
        <f aca="false">E20*$B$10</f>
        <v>0</v>
      </c>
    </row>
    <row r="23" customFormat="false" ht="15" hidden="false" customHeight="false" outlineLevel="0" collapsed="false">
      <c r="A23" s="68" t="s">
        <v>304</v>
      </c>
      <c r="B23" s="109" t="n">
        <f aca="false">B20*$B$11</f>
        <v>0</v>
      </c>
      <c r="C23" s="109" t="n">
        <f aca="false">C20*$B$11</f>
        <v>0</v>
      </c>
      <c r="D23" s="109" t="n">
        <f aca="false">D20*$B$11</f>
        <v>0</v>
      </c>
      <c r="E23" s="109" t="n">
        <f aca="false">E20*$B$11</f>
        <v>0</v>
      </c>
    </row>
    <row r="24" customFormat="false" ht="15" hidden="false" customHeight="false" outlineLevel="0" collapsed="false">
      <c r="A24" s="68" t="s">
        <v>305</v>
      </c>
      <c r="B24" s="78" t="n">
        <f aca="false">Investment!$E$35</f>
        <v>0</v>
      </c>
      <c r="C24" s="78" t="n">
        <f aca="false">Investment!$E$35</f>
        <v>0</v>
      </c>
      <c r="D24" s="78" t="n">
        <f aca="false">Investment!$E$35</f>
        <v>0</v>
      </c>
      <c r="E24" s="78" t="n">
        <f aca="false">Investment!$E$35</f>
        <v>0</v>
      </c>
    </row>
    <row r="25" customFormat="false" ht="15" hidden="false" customHeight="false" outlineLevel="0" collapsed="false">
      <c r="A25" s="68" t="s">
        <v>306</v>
      </c>
      <c r="B25" s="78" t="n">
        <f aca="false">Investment!$E$36</f>
        <v>0</v>
      </c>
      <c r="C25" s="78" t="n">
        <f aca="false">Investment!$E$36</f>
        <v>0</v>
      </c>
      <c r="D25" s="78" t="n">
        <f aca="false">Investment!$E$36</f>
        <v>0</v>
      </c>
      <c r="E25" s="78" t="n">
        <f aca="false">Investment!$E$36</f>
        <v>0</v>
      </c>
    </row>
    <row r="26" customFormat="false" ht="15" hidden="false" customHeight="false" outlineLevel="0" collapsed="false">
      <c r="A26" s="68" t="s">
        <v>307</v>
      </c>
      <c r="B26" s="109" t="n">
        <f aca="false">-B24+B21-B25</f>
        <v>0</v>
      </c>
      <c r="C26" s="109" t="n">
        <f aca="false">-C24+C21-C25</f>
        <v>0</v>
      </c>
      <c r="D26" s="109" t="n">
        <f aca="false">-D24+D21-D25</f>
        <v>0</v>
      </c>
      <c r="E26" s="109" t="n">
        <f aca="false">-E24+E21-E25</f>
        <v>0</v>
      </c>
    </row>
    <row r="27" customFormat="false" ht="15" hidden="false" customHeight="false" outlineLevel="0" collapsed="false">
      <c r="A27" s="68" t="s">
        <v>308</v>
      </c>
      <c r="B27" s="109" t="n">
        <f aca="false">B26+B22-B25</f>
        <v>0</v>
      </c>
      <c r="C27" s="109" t="n">
        <f aca="false">C26+C22-C25</f>
        <v>0</v>
      </c>
      <c r="D27" s="109" t="n">
        <f aca="false">D26+D22-D25</f>
        <v>0</v>
      </c>
      <c r="E27" s="109" t="n">
        <f aca="false">E26+E22-E25</f>
        <v>0</v>
      </c>
    </row>
    <row r="28" customFormat="false" ht="15" hidden="false" customHeight="false" outlineLevel="0" collapsed="false">
      <c r="A28" s="68" t="s">
        <v>309</v>
      </c>
      <c r="B28" s="109" t="n">
        <f aca="false">B27+B23-B25</f>
        <v>0</v>
      </c>
      <c r="C28" s="109" t="n">
        <f aca="false">C27+C23-C25</f>
        <v>0</v>
      </c>
      <c r="D28" s="109" t="n">
        <f aca="false">D27+D23-D25</f>
        <v>0</v>
      </c>
      <c r="E28" s="109" t="n">
        <f aca="false">E27+E23-E25</f>
        <v>0</v>
      </c>
    </row>
    <row r="29" customFormat="false" ht="15" hidden="false" customHeight="false" outlineLevel="0" collapsed="false">
      <c r="A29" s="81" t="s">
        <v>81</v>
      </c>
      <c r="B29" s="115" t="n">
        <f aca="false">B28</f>
        <v>0</v>
      </c>
      <c r="C29" s="115" t="n">
        <f aca="false">C28</f>
        <v>0</v>
      </c>
      <c r="D29" s="115" t="n">
        <f aca="false">D28</f>
        <v>0</v>
      </c>
      <c r="E29" s="115" t="n">
        <f aca="false">E28</f>
        <v>0</v>
      </c>
    </row>
    <row r="30" customFormat="false" ht="15" hidden="false" customHeight="false" outlineLevel="0" collapsed="false">
      <c r="A30" s="68" t="s">
        <v>310</v>
      </c>
      <c r="B30" s="120" t="str">
        <f aca="false">IFERROR((B21+B22+B23)/(B24+3*B25),"–")</f>
        <v>–</v>
      </c>
      <c r="C30" s="120" t="str">
        <f aca="false">IFERROR((C21+C22+C23)/(C24+3*C25),"–")</f>
        <v>–</v>
      </c>
      <c r="D30" s="120" t="str">
        <f aca="false">IFERROR((D21+D22+D23)/(D24+3*D25),"–")</f>
        <v>–</v>
      </c>
      <c r="E30" s="120" t="str">
        <f aca="false">IFERROR((E21+E22+E23)/(E24+3*E25),"–")</f>
        <v>–</v>
      </c>
    </row>
    <row r="31" customFormat="false" ht="15" hidden="false" customHeight="false" outlineLevel="0" collapsed="false">
      <c r="A31" s="81" t="s">
        <v>113</v>
      </c>
      <c r="B31" s="121" t="str">
        <f aca="false">IFERROR(IF(B20=0,"–",IF(B26&gt;=0,IF(B24=0,0,ROUNDUP(12*B24/(B21-B25),0)),IF(B27&gt;=0,ROUNDUP(12+12*(-B26)/(B22-B25),0),IF(B28&gt;=0,ROUNDUP(24+12*(-B27)/(B23-B25),0),"Not within 3 years")))),"–")</f>
        <v>–</v>
      </c>
      <c r="C31" s="121" t="str">
        <f aca="false">IFERROR(IF(C20=0,"–",IF(C26&gt;=0,IF(C24=0,0,ROUNDUP(12*C24/(C21-C25),0)),IF(C27&gt;=0,ROUNDUP(12+12*(-C26)/(C22-C25),0),IF(C28&gt;=0,ROUNDUP(24+12*(-C27)/(C23-C25),0),"Not within 3 years")))),"–")</f>
        <v>–</v>
      </c>
      <c r="D31" s="121" t="str">
        <f aca="false">IFERROR(IF(D20=0,"–",IF(D26&gt;=0,IF(D24=0,0,ROUNDUP(12*D24/(D21-D25),0)),IF(D27&gt;=0,ROUNDUP(12+12*(-D26)/(D22-D25),0),IF(D28&gt;=0,ROUNDUP(24+12*(-D27)/(D23-D25),0),"Not within 3 years")))),"–")</f>
        <v>–</v>
      </c>
      <c r="E31" s="121" t="str">
        <f aca="false">IFERROR(IF(E20=0,"–",IF(E26&gt;=0,IF(E24=0,0,ROUNDUP(12*E24/(E21-E25),0)),IF(E27&gt;=0,ROUNDUP(12+12*(-E26)/(E22-E25),0),IF(E28&gt;=0,ROUNDUP(24+12*(-E27)/(E23-E25),0),"Not within 3 years")))),"–")</f>
        <v>–</v>
      </c>
    </row>
    <row r="33" customFormat="false" ht="15" hidden="false" customHeight="false" outlineLevel="0" collapsed="false">
      <c r="A33" s="3" t="s">
        <v>311</v>
      </c>
      <c r="B33" s="4"/>
      <c r="C33" s="4"/>
      <c r="D33" s="4"/>
      <c r="E33" s="4"/>
      <c r="F33" s="4"/>
    </row>
    <row r="34" customFormat="false" ht="15" hidden="false" customHeight="false" outlineLevel="0" collapsed="false">
      <c r="A34" s="5" t="s">
        <v>122</v>
      </c>
      <c r="B34" s="5" t="s">
        <v>312</v>
      </c>
      <c r="C34" s="5" t="s">
        <v>27</v>
      </c>
    </row>
    <row r="35" customFormat="false" ht="27.75" hidden="false" customHeight="true" outlineLevel="0" collapsed="false">
      <c r="A35" s="68" t="s">
        <v>313</v>
      </c>
      <c r="B35" s="122" t="n">
        <f aca="false">COUNTIF('Your Case'!$C$6:$C$30,"?*")</f>
        <v>0</v>
      </c>
      <c r="C35" s="83" t="s">
        <v>314</v>
      </c>
      <c r="D35" s="83"/>
      <c r="E35" s="83"/>
    </row>
    <row r="36" customFormat="false" ht="27.75" hidden="false" customHeight="true" outlineLevel="0" collapsed="false">
      <c r="A36" s="68" t="s">
        <v>315</v>
      </c>
      <c r="B36" s="122" t="n">
        <f aca="false">COUNTIF('Your Case'!$Y$6:$Y$30,"Complete")</f>
        <v>0</v>
      </c>
      <c r="C36" s="83" t="s">
        <v>316</v>
      </c>
      <c r="D36" s="83"/>
      <c r="E36" s="83"/>
    </row>
    <row r="37" customFormat="false" ht="27.75" hidden="false" customHeight="true" outlineLevel="0" collapsed="false">
      <c r="A37" s="68" t="s">
        <v>317</v>
      </c>
      <c r="B37" s="122" t="n">
        <f aca="false">COUNTIF('Your Case'!$R$6:$R$30,"Yes")</f>
        <v>0</v>
      </c>
      <c r="C37" s="83" t="s">
        <v>318</v>
      </c>
      <c r="D37" s="83"/>
      <c r="E37" s="83"/>
    </row>
    <row r="38" customFormat="false" ht="27.75" hidden="false" customHeight="true" outlineLevel="0" collapsed="false">
      <c r="A38" s="68" t="s">
        <v>319</v>
      </c>
      <c r="B38" s="122" t="n">
        <f aca="false">SUMPRODUCT(('Your Case'!$C$6:$C$30&lt;&gt;"")*((('Your Case'!$J$6:$J$30="")+('Your Case'!$N$6:$N$30=""))&gt;0))</f>
        <v>0</v>
      </c>
      <c r="C38" s="83" t="s">
        <v>320</v>
      </c>
      <c r="D38" s="83"/>
      <c r="E38" s="83"/>
    </row>
    <row r="39" customFormat="false" ht="27.75" hidden="false" customHeight="true" outlineLevel="0" collapsed="false">
      <c r="A39" s="68" t="s">
        <v>321</v>
      </c>
      <c r="B39" s="122" t="n">
        <f aca="false">COUNTIFS('Your Case'!$C$6:$C$30,"?*",'Your Case'!$T$6:$T$30,"")</f>
        <v>0</v>
      </c>
      <c r="C39" s="83" t="s">
        <v>322</v>
      </c>
      <c r="D39" s="83"/>
      <c r="E39" s="83"/>
    </row>
    <row r="41" customFormat="false" ht="15" hidden="false" customHeight="false" outlineLevel="0" collapsed="false">
      <c r="A41" s="3" t="s">
        <v>323</v>
      </c>
      <c r="B41" s="4"/>
      <c r="C41" s="4"/>
      <c r="D41" s="4"/>
      <c r="E41" s="4"/>
      <c r="F41" s="4"/>
    </row>
    <row r="42" customFormat="false" ht="15" hidden="false" customHeight="false" outlineLevel="0" collapsed="false">
      <c r="A42" s="5" t="s">
        <v>256</v>
      </c>
      <c r="B42" s="5" t="s">
        <v>275</v>
      </c>
      <c r="C42" s="5" t="s">
        <v>324</v>
      </c>
    </row>
    <row r="43" customFormat="false" ht="27.75" hidden="false" customHeight="true" outlineLevel="0" collapsed="false">
      <c r="A43" s="88" t="s">
        <v>325</v>
      </c>
      <c r="B43" s="106"/>
      <c r="C43" s="83" t="s">
        <v>326</v>
      </c>
      <c r="D43" s="83"/>
      <c r="E43" s="83"/>
    </row>
    <row r="44" customFormat="false" ht="27.75" hidden="false" customHeight="true" outlineLevel="0" collapsed="false">
      <c r="A44" s="88" t="s">
        <v>327</v>
      </c>
      <c r="B44" s="106"/>
      <c r="C44" s="83" t="s">
        <v>328</v>
      </c>
      <c r="D44" s="83"/>
      <c r="E44" s="83"/>
    </row>
    <row r="45" customFormat="false" ht="27.75" hidden="false" customHeight="true" outlineLevel="0" collapsed="false">
      <c r="A45" s="88" t="s">
        <v>329</v>
      </c>
      <c r="B45" s="106"/>
      <c r="C45" s="83" t="s">
        <v>330</v>
      </c>
      <c r="D45" s="83"/>
      <c r="E45" s="83"/>
    </row>
    <row r="46" customFormat="false" ht="15" hidden="false" customHeight="false" outlineLevel="0" collapsed="false">
      <c r="A46" s="81" t="s">
        <v>331</v>
      </c>
      <c r="B46" s="115" t="n">
        <f aca="false">B43*B44+B45</f>
        <v>0</v>
      </c>
    </row>
    <row r="47" customFormat="false" ht="15" hidden="false" customHeight="false" outlineLevel="0" collapsed="false">
      <c r="A47" s="81" t="s">
        <v>332</v>
      </c>
      <c r="B47" s="115" t="n">
        <f aca="false">C20/12</f>
        <v>0</v>
      </c>
    </row>
    <row r="49" customFormat="false" ht="15" hidden="false" customHeight="false" outlineLevel="0" collapsed="false">
      <c r="A49" s="3" t="s">
        <v>333</v>
      </c>
      <c r="B49" s="4"/>
      <c r="C49" s="4"/>
      <c r="D49" s="4"/>
      <c r="E49" s="4"/>
      <c r="F49" s="4"/>
    </row>
    <row r="50" customFormat="false" ht="15" hidden="false" customHeight="false" outlineLevel="0" collapsed="false">
      <c r="A50" s="5" t="s">
        <v>334</v>
      </c>
      <c r="B50" s="5" t="s">
        <v>335</v>
      </c>
    </row>
    <row r="51" customFormat="false" ht="15" hidden="false" customHeight="true" outlineLevel="0" collapsed="false">
      <c r="A51" s="81" t="s">
        <v>336</v>
      </c>
      <c r="B51" s="88" t="s">
        <v>337</v>
      </c>
      <c r="C51" s="88"/>
      <c r="D51" s="88"/>
      <c r="E51" s="88"/>
    </row>
    <row r="52" customFormat="false" ht="15" hidden="false" customHeight="true" outlineLevel="0" collapsed="false">
      <c r="A52" s="81" t="s">
        <v>185</v>
      </c>
      <c r="B52" s="88" t="s">
        <v>338</v>
      </c>
      <c r="C52" s="88"/>
      <c r="D52" s="88"/>
      <c r="E52" s="88"/>
    </row>
    <row r="53" customFormat="false" ht="15" hidden="false" customHeight="true" outlineLevel="0" collapsed="false">
      <c r="A53" s="81" t="s">
        <v>339</v>
      </c>
      <c r="B53" s="88" t="s">
        <v>340</v>
      </c>
      <c r="C53" s="88"/>
      <c r="D53" s="88"/>
      <c r="E53" s="88"/>
    </row>
    <row r="54" customFormat="false" ht="15" hidden="false" customHeight="true" outlineLevel="0" collapsed="false">
      <c r="A54" s="81" t="s">
        <v>341</v>
      </c>
      <c r="B54" s="88" t="s">
        <v>342</v>
      </c>
      <c r="C54" s="88"/>
      <c r="D54" s="88"/>
      <c r="E54" s="88"/>
    </row>
    <row r="55" customFormat="false" ht="15" hidden="false" customHeight="true" outlineLevel="0" collapsed="false">
      <c r="A55" s="81" t="s">
        <v>343</v>
      </c>
      <c r="B55" s="88" t="s">
        <v>344</v>
      </c>
      <c r="C55" s="88"/>
      <c r="D55" s="88"/>
      <c r="E55" s="88"/>
    </row>
    <row r="56" customFormat="false" ht="15" hidden="false" customHeight="true" outlineLevel="0" collapsed="false">
      <c r="A56" s="81" t="s">
        <v>345</v>
      </c>
      <c r="B56" s="88" t="s">
        <v>346</v>
      </c>
      <c r="C56" s="88"/>
      <c r="D56" s="88"/>
      <c r="E56" s="88"/>
    </row>
    <row r="57" customFormat="false" ht="15" hidden="false" customHeight="true" outlineLevel="0" collapsed="false">
      <c r="A57" s="81" t="s">
        <v>347</v>
      </c>
      <c r="B57" s="88" t="s">
        <v>348</v>
      </c>
      <c r="C57" s="88"/>
      <c r="D57" s="88"/>
      <c r="E57" s="88"/>
    </row>
    <row r="58" customFormat="false" ht="23.85" hidden="false" customHeight="true" outlineLevel="0" collapsed="false">
      <c r="A58" s="81" t="s">
        <v>349</v>
      </c>
      <c r="B58" s="88" t="s">
        <v>350</v>
      </c>
      <c r="C58" s="88"/>
      <c r="D58" s="88"/>
      <c r="E58" s="88"/>
    </row>
    <row r="59" customFormat="false" ht="15" hidden="false" customHeight="true" outlineLevel="0" collapsed="false">
      <c r="A59" s="81" t="s">
        <v>351</v>
      </c>
      <c r="B59" s="88" t="s">
        <v>352</v>
      </c>
      <c r="C59" s="88"/>
      <c r="D59" s="88"/>
      <c r="E59" s="88"/>
    </row>
  </sheetData>
  <sheetProtection sheet="true" formatColumns="false" formatRows="false"/>
  <mergeCells count="27">
    <mergeCell ref="C6:E6"/>
    <mergeCell ref="C7:E7"/>
    <mergeCell ref="C8:E8"/>
    <mergeCell ref="C9:E9"/>
    <mergeCell ref="C10:E10"/>
    <mergeCell ref="C11:E11"/>
    <mergeCell ref="C12:E12"/>
    <mergeCell ref="C13:E13"/>
    <mergeCell ref="C14:E14"/>
    <mergeCell ref="A17:F17"/>
    <mergeCell ref="C35:E35"/>
    <mergeCell ref="C36:E36"/>
    <mergeCell ref="C37:E37"/>
    <mergeCell ref="C38:E38"/>
    <mergeCell ref="C39:E39"/>
    <mergeCell ref="C43:E43"/>
    <mergeCell ref="C44:E44"/>
    <mergeCell ref="C45:E45"/>
    <mergeCell ref="B51:E51"/>
    <mergeCell ref="B52:E52"/>
    <mergeCell ref="B53:E53"/>
    <mergeCell ref="B54:E54"/>
    <mergeCell ref="B55:E55"/>
    <mergeCell ref="B56:E56"/>
    <mergeCell ref="B57:E57"/>
    <mergeCell ref="B58:E58"/>
    <mergeCell ref="B59:E59"/>
  </mergeCell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BenefitPartner · The Business Case Method&amp;R&amp;8 benefitpartner.dk · &amp;P / &amp;N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F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8"/>
    <col collapsed="false" customWidth="true" hidden="false" outlineLevel="0" max="3" min="3" style="0" width="30"/>
    <col collapsed="false" customWidth="true" hidden="false" outlineLevel="0" max="4" min="4" style="0" width="14"/>
    <col collapsed="false" customWidth="true" hidden="false" outlineLevel="0" max="5" min="5" style="0" width="12"/>
    <col collapsed="false" customWidth="true" hidden="false" outlineLevel="0" max="6" min="6" style="0" width="44"/>
    <col collapsed="false" customWidth="true" hidden="false" outlineLevel="0" max="7" min="7" style="0" width="32"/>
    <col collapsed="false" customWidth="true" hidden="false" outlineLevel="0" max="8" min="8" style="0" width="18"/>
    <col collapsed="false" customWidth="true" hidden="false" outlineLevel="0" max="9" min="9" style="0" width="10"/>
    <col collapsed="false" customWidth="true" hidden="false" outlineLevel="0" max="10" min="10" style="0" width="20"/>
    <col collapsed="false" customWidth="true" hidden="false" outlineLevel="0" max="11" min="11" style="0" width="11"/>
    <col collapsed="false" customWidth="true" hidden="false" outlineLevel="0" max="13" min="12" style="0" width="10"/>
    <col collapsed="false" customWidth="true" hidden="false" outlineLevel="0" max="14" min="14" style="0" width="20"/>
    <col collapsed="false" customWidth="true" hidden="false" outlineLevel="0" max="15" min="15" style="0" width="11"/>
    <col collapsed="false" customWidth="true" hidden="false" outlineLevel="0" max="16" min="16" style="0" width="16"/>
    <col collapsed="false" customWidth="true" hidden="false" outlineLevel="0" max="17" min="17" style="0" width="10"/>
    <col collapsed="false" customWidth="true" hidden="false" outlineLevel="0" max="18" min="18" style="0" width="11"/>
    <col collapsed="false" customWidth="true" hidden="false" outlineLevel="0" max="19" min="19" style="0" width="18"/>
    <col collapsed="false" customWidth="true" hidden="false" outlineLevel="0" max="20" min="20" style="0" width="16"/>
    <col collapsed="false" customWidth="true" hidden="false" outlineLevel="0" max="21" min="21" style="0" width="11"/>
    <col collapsed="false" customWidth="true" hidden="false" outlineLevel="0" max="22" min="22" style="0" width="12"/>
    <col collapsed="false" customWidth="true" hidden="false" outlineLevel="0" max="23" min="23" style="0" width="8"/>
    <col collapsed="false" customWidth="true" hidden="false" outlineLevel="0" max="24" min="24" style="0" width="13"/>
    <col collapsed="false" customWidth="true" hidden="false" outlineLevel="0" max="25" min="25" style="0" width="26"/>
    <col collapsed="false" customWidth="true" hidden="false" outlineLevel="0" max="26" min="26" style="0" width="9"/>
    <col collapsed="false" customWidth="true" hidden="false" outlineLevel="0" max="27" min="27" style="0" width="50"/>
    <col collapsed="false" customWidth="true" hidden="false" outlineLevel="0" max="28" min="28" style="0" width="44"/>
    <col collapsed="false" customWidth="true" hidden="true" outlineLevel="0" max="32" min="29" style="0" width="10"/>
  </cols>
  <sheetData>
    <row r="1" customFormat="false" ht="54" hidden="false" customHeight="true" outlineLevel="0" collapsed="false">
      <c r="A1" s="1" t="s">
        <v>353</v>
      </c>
      <c r="K1" s="35" t="str">
        <f aca="false">HYPERLINK("#'Start Here'!A4","← Case Map")</f>
        <v>← Case Map</v>
      </c>
    </row>
    <row r="2" customFormat="false" ht="13.5" hidden="false" customHeight="true" outlineLevel="0" collapsed="false">
      <c r="A2" s="89" t="s">
        <v>158</v>
      </c>
      <c r="B2" s="89"/>
      <c r="C2" s="90" t="s">
        <v>159</v>
      </c>
      <c r="G2" s="89" t="s">
        <v>160</v>
      </c>
      <c r="H2" s="89"/>
      <c r="I2" s="89"/>
      <c r="J2" s="89"/>
      <c r="K2" s="91" t="s">
        <v>354</v>
      </c>
      <c r="L2" s="91"/>
      <c r="M2" s="91"/>
      <c r="N2" s="91"/>
      <c r="O2" s="91"/>
      <c r="P2" s="91"/>
      <c r="Q2" s="91"/>
      <c r="R2" s="91"/>
      <c r="S2" s="91"/>
      <c r="T2" s="91"/>
    </row>
    <row r="3" customFormat="false" ht="43.5" hidden="false" customHeight="true" outlineLevel="0" collapsed="false">
      <c r="A3" s="92" t="n">
        <f aca="false">X31</f>
        <v>165310</v>
      </c>
      <c r="B3" s="92"/>
      <c r="C3" s="18" t="str">
        <f aca="false">IF(ISNUMBER(F51),F51&amp;" months payback",IF(X31=0,"Payback: –","Payback: over 3 years"))&amp;CHAR(10)&amp;COUNTIF(Y6:Y30,"Complete")&amp;" of "&amp;COUNTIF(C6:C30,"?*")&amp;" lines complete"&amp;CHAR(10)&amp;"Example case"</f>
        <v>15 months payback
7 of 7 lines complete
Example case</v>
      </c>
      <c r="G3" s="93" t="str">
        <f aca="false">IF(N(V31)=0,"–",FIXED(SUMIF(P6:P30,"Measured in our systems",V6:V30)/V31*100,0)&amp;"% measured · "&amp;FIXED(100-ROUND(SUMIF(P6:P30,"Measured in our systems",V6:V30)/V31*100,0)-ROUND(SUMIF(P6:P30,"Gut feeling",V6:V30)/V31*100,0),0)&amp;"% estimated · "&amp;FIXED(SUMIF(P6:P30,"Gut feeling",V6:V30)/V31*100,0)&amp;"% gut feeling")</f>
        <v>43% measured · 52% estimated · 5% gut feeling</v>
      </c>
      <c r="H3" s="93"/>
      <c r="I3" s="93"/>
      <c r="J3" s="93"/>
      <c r="K3" s="91"/>
      <c r="L3" s="91"/>
      <c r="M3" s="91"/>
      <c r="N3" s="91"/>
      <c r="O3" s="91"/>
      <c r="P3" s="91"/>
      <c r="Q3" s="91"/>
      <c r="R3" s="91"/>
      <c r="S3" s="91"/>
      <c r="T3" s="91"/>
    </row>
    <row r="4" customFormat="false" ht="15" hidden="false" customHeight="false" outlineLevel="0" collapsed="false">
      <c r="A4" s="94"/>
      <c r="B4" s="95" t="s">
        <v>162</v>
      </c>
      <c r="C4" s="95"/>
      <c r="D4" s="95"/>
      <c r="E4" s="95"/>
      <c r="F4" s="95"/>
      <c r="G4" s="96" t="s">
        <v>163</v>
      </c>
      <c r="H4" s="96"/>
      <c r="I4" s="97" t="s">
        <v>164</v>
      </c>
      <c r="J4" s="97"/>
      <c r="K4" s="98" t="s">
        <v>165</v>
      </c>
      <c r="L4" s="98"/>
      <c r="M4" s="98"/>
      <c r="N4" s="98"/>
      <c r="O4" s="99" t="s">
        <v>166</v>
      </c>
      <c r="P4" s="99"/>
      <c r="Q4" s="100" t="s">
        <v>167</v>
      </c>
      <c r="R4" s="100"/>
      <c r="S4" s="100"/>
      <c r="T4" s="101" t="s">
        <v>168</v>
      </c>
      <c r="U4" s="102" t="s">
        <v>169</v>
      </c>
      <c r="V4" s="102"/>
      <c r="W4" s="102"/>
      <c r="X4" s="102"/>
      <c r="Y4" s="102"/>
      <c r="Z4" s="102"/>
      <c r="AA4" s="102"/>
      <c r="AB4" s="102"/>
    </row>
    <row r="5" customFormat="false" ht="61.5" hidden="false" customHeight="true" outlineLevel="0" collapsed="false">
      <c r="A5" s="5" t="s">
        <v>170</v>
      </c>
      <c r="B5" s="5" t="s">
        <v>171</v>
      </c>
      <c r="C5" s="5" t="s">
        <v>172</v>
      </c>
      <c r="D5" s="5" t="s">
        <v>173</v>
      </c>
      <c r="E5" s="5" t="s">
        <v>174</v>
      </c>
      <c r="F5" s="5" t="s">
        <v>175</v>
      </c>
      <c r="G5" s="5" t="s">
        <v>176</v>
      </c>
      <c r="H5" s="5" t="s">
        <v>177</v>
      </c>
      <c r="I5" s="5" t="s">
        <v>178</v>
      </c>
      <c r="J5" s="5" t="s">
        <v>179</v>
      </c>
      <c r="K5" s="5" t="s">
        <v>180</v>
      </c>
      <c r="L5" s="5" t="s">
        <v>181</v>
      </c>
      <c r="M5" s="5" t="s">
        <v>182</v>
      </c>
      <c r="N5" s="5" t="s">
        <v>183</v>
      </c>
      <c r="O5" s="5" t="s">
        <v>184</v>
      </c>
      <c r="P5" s="5" t="s">
        <v>185</v>
      </c>
      <c r="Q5" s="5" t="s">
        <v>186</v>
      </c>
      <c r="R5" s="5" t="s">
        <v>187</v>
      </c>
      <c r="S5" s="5" t="s">
        <v>188</v>
      </c>
      <c r="T5" s="5" t="s">
        <v>189</v>
      </c>
      <c r="U5" s="5" t="s">
        <v>190</v>
      </c>
      <c r="V5" s="5" t="s">
        <v>191</v>
      </c>
      <c r="W5" s="5" t="s">
        <v>192</v>
      </c>
      <c r="X5" s="5" t="s">
        <v>116</v>
      </c>
      <c r="Y5" s="5" t="s">
        <v>193</v>
      </c>
      <c r="Z5" s="5" t="s">
        <v>194</v>
      </c>
      <c r="AA5" s="5" t="s">
        <v>195</v>
      </c>
      <c r="AB5" s="5" t="s">
        <v>196</v>
      </c>
      <c r="AC5" s="5" t="s">
        <v>197</v>
      </c>
      <c r="AD5" s="5" t="s">
        <v>198</v>
      </c>
      <c r="AE5" s="5" t="s">
        <v>199</v>
      </c>
      <c r="AF5" s="5" t="s">
        <v>200</v>
      </c>
    </row>
    <row r="6" customFormat="false" ht="73.5" hidden="false" customHeight="true" outlineLevel="0" collapsed="false">
      <c r="A6" s="103" t="s">
        <v>201</v>
      </c>
      <c r="B6" s="69" t="s">
        <v>355</v>
      </c>
      <c r="C6" s="69" t="s">
        <v>356</v>
      </c>
      <c r="D6" s="104" t="str">
        <f aca="false">IF(AD6="","",INDEX(Library!$F$5:$F$169,AD6))</f>
        <v>Business Processes</v>
      </c>
      <c r="E6" s="104" t="str">
        <f aca="false">IF(AD6="","",TRIM(IF(INDEX(Library!$G$5:$G$169,AD6)="Yes","SEE ","")&amp;IF(INDEX(Library!$H$5:$H$169,AD6)="Yes","STEER ","")&amp;IF(INDEX(Library!$I$5:$I$169,AD6)="Yes","KEEP","")))</f>
        <v>SEE STEER KEEP</v>
      </c>
      <c r="F6" s="105" t="str">
        <f aca="false">IF(AD6="","",INDEX(Library!$J$5:$J$169,AD6)&amp;IF(INDEX(Library!$K$5:$K$169,AD6)="","",CHAR(10)&amp;"Count: "&amp;INDEX(Library!$K$5:$K$169,AD6)))</f>
        <v>Incomplete or non-compliant customer records are stopped by BRFplus business rules — a deterministic rule engine, not AI/ML. The value is the rule itself, enforced consistently — not an AI component, and that must be stated honestly if this line is used in a VP pitch on 'ERP Housekeeping with AI'.
Count: customer records validated/year</v>
      </c>
      <c r="G6" s="69" t="s">
        <v>357</v>
      </c>
      <c r="H6" s="69" t="s">
        <v>358</v>
      </c>
      <c r="I6" s="106" t="n">
        <v>400</v>
      </c>
      <c r="J6" s="69" t="s">
        <v>359</v>
      </c>
      <c r="K6" s="106" t="n">
        <v>60</v>
      </c>
      <c r="L6" s="106"/>
      <c r="M6" s="106"/>
      <c r="N6" s="69" t="s">
        <v>360</v>
      </c>
      <c r="O6" s="107" t="n">
        <v>0.8</v>
      </c>
      <c r="P6" s="69" t="s">
        <v>276</v>
      </c>
      <c r="Q6" s="69" t="s">
        <v>361</v>
      </c>
      <c r="R6" s="69" t="s">
        <v>237</v>
      </c>
      <c r="S6" s="69"/>
      <c r="T6" s="69" t="s">
        <v>362</v>
      </c>
      <c r="U6" s="108" t="n">
        <f aca="false">IF(K6&lt;&gt;"",K6,IF(AND(L6&lt;&gt;"",M6&lt;&gt;""),L6/60*M6,""))</f>
        <v>60</v>
      </c>
      <c r="V6" s="109" t="n">
        <f aca="false">IF(OR(I6="",U6="",O6=""),"",I6*U6*O6)</f>
        <v>19200</v>
      </c>
      <c r="W6" s="110" t="n">
        <f aca="false">IF(P6="","",IFERROR(INDEX('CFO Appendix'!$B$6:$B$8,MATCH(P6,'CFO Appendix'!$A$6:$A$8,0)),""))</f>
        <v>1</v>
      </c>
      <c r="X6" s="109" t="n">
        <f aca="false">IF(OR(V6="",W6=""),"",V6*W6)</f>
        <v>19200</v>
      </c>
      <c r="Y6" s="111" t="str">
        <f aca="false">IF(AND(B6="",C6=""),"",IF(C6="","Choose a capability",IF(AD6="","Capability not in this domain",IF(COUNTIFS($B$6:$B$30,B6,$C$6:$C$30,C6)&gt;1,"Chosen twice",IF(AC6="","Complete","Missing: "&amp;LEFT(AC6,LEN(AC6)-2))))))</f>
        <v>Complete</v>
      </c>
      <c r="Z6" s="112" t="str">
        <f aca="false">IF(V6="","",IF(AND(P6="Measured in our systems",Q6="Yes"),"A",IF(P6="Gut feeling","C","B")))</f>
        <v>A</v>
      </c>
      <c r="AA6" s="111" t="str">
        <f aca="false">IF(Y6&lt;&gt;"Complete","","We remove "&amp;FIXED(O6*100,0)&amp;"% of "&amp;FIXED(I6,0)&amp;" "&amp;H6&amp;" a year — worth €"&amp;FIXED(V6,0)&amp;" a year. The number is "&amp;IF(P6="Measured in our systems","measured",IF(P6="Qualified estimate","a qualified estimate","a gut feeling"))&amp;" ("&amp;J6&amp;"). Owner: "&amp;T6&amp;".")</f>
        <v>We remove 80% of 400 blocked orders &amp; invoices a year — worth €19,200 a year. The number is measured (SAP block log, last 12 months). Owner: Head of Order-to-Cash.</v>
      </c>
      <c r="AB6" s="113" t="str">
        <f aca="false">IF(C6="","",IF(AE6="",IF(Z6="A","Solid — measured and on the bottom line. Be ready to show the source.","Be ready to show where the numbers come from."),LEFT(AE6,LEN(AE6)-3)))</f>
        <v>Solid — measured and on the bottom line. Be ready to show the source.</v>
      </c>
      <c r="AC6" s="0" t="str">
        <f aca="false">IF(G6="","problem, ","")&amp;IF(H6="","what we count, ","")&amp;IF(I6="","times per year, ","")&amp;IF(J6="","source of times, ","")&amp;IF(U6="","cost each time, ","")&amp;IF(N6="","source of cost, ","")&amp;IF(O6="","share removed, ","")&amp;IF(P6="","how sure, ","")&amp;IF(Q6="","bottom line, ","")&amp;IF(R6="","shared benefit, ","")&amp;IF(AND(R6="Yes",S6=""),"which line, ","")&amp;IF(T6="","Benefit Owner, ","")</f>
        <v/>
      </c>
      <c r="AD6" s="123" t="n">
        <f aca="true">IF(OR(B6="",C6=""),"",IFERROR(MATCH(B6,Library!$D$5:$D$169,0)+MATCH(C6,OFFSET(Library!$E$5,MATCH(B6,Library!$D$5:$D$169,0)-1,0,COUNTIF(Library!$D$5:$D$169,B6),1),0)-1,""))</f>
        <v>2</v>
      </c>
      <c r="AE6" s="0" t="str">
        <f aca="false">IF(C6="","",IF(O6=1,"Is removing 100% of the problem realistic? · ","")&amp;IF(AND(P6="Gut feeling",ISNUMBER(V6)),IF(V6=MAX($V$6:$V$30),"Your biggest line rests on a gut feeling — can you measure it? · ","A gut feeling — what would it take to measure it? · "),"")&amp;IF(AND(P6="Qualified estimate",ISNUMBER(V6)),IF(V6=MAX($V$6:$V$30),"Your biggest line is an estimate — can you count it in your systems? · ",""),"")&amp;IF(Q6="No","How does the time saved turn into money? · ","")&amp;IF(AND(ISNUMBER(U6),N(U6)&gt;5000),"Check the cost: is it really per occurrence? · ","")&amp;IF(AND(ISNUMBER(I6),N(I6)&gt;100000),"Check the count: is it really per year? · ","")&amp;IF(R6="Yes","Merge or remove the overlap before the CFO sees it. · ",""))</f>
        <v/>
      </c>
      <c r="AF6" s="123" t="n">
        <f aca="false">IF(ISNUMBER(X6),X6+ROW()/1000000,"")</f>
        <v>19200.000006</v>
      </c>
    </row>
    <row r="7" customFormat="false" ht="73.5" hidden="false" customHeight="true" outlineLevel="0" collapsed="false">
      <c r="A7" s="103" t="s">
        <v>202</v>
      </c>
      <c r="B7" s="69" t="s">
        <v>355</v>
      </c>
      <c r="C7" s="69" t="s">
        <v>363</v>
      </c>
      <c r="D7" s="104" t="str">
        <f aca="false">IF(AD7="","",INDEX(Library!$F$5:$F$169,AD7))</f>
        <v>Business Processes</v>
      </c>
      <c r="E7" s="104" t="str">
        <f aca="false">IF(AD7="","",TRIM(IF(INDEX(Library!$G$5:$G$169,AD7)="Yes","SEE ","")&amp;IF(INDEX(Library!$H$5:$H$169,AD7)="Yes","STEER ","")&amp;IF(INDEX(Library!$I$5:$I$169,AD7)="Yes","KEEP","")))</f>
        <v>SEE STEER KEEP</v>
      </c>
      <c r="F7" s="105" t="str">
        <f aca="false">IF(AD7="","",INDEX(Library!$J$5:$J$169,AD7)&amp;IF(INDEX(Library!$K$5:$K$169,AD7)="","",CHAR(10)&amp;"Count: "&amp;INDEX(Library!$K$5:$K$169,AD7)))</f>
        <v>Duplicates are caught by SAP HANA Fuzzy Search (Match &amp; Merge) — deterministic similarity matching, not AI/ML — so the same customer doesn't appear twice in order and credit history. Same caveat: technical housekeeping, not artificial intelligence.
Count: duplicates identified &amp; merged/year</v>
      </c>
      <c r="G7" s="69" t="s">
        <v>364</v>
      </c>
      <c r="H7" s="69" t="s">
        <v>365</v>
      </c>
      <c r="I7" s="106" t="n">
        <v>1500</v>
      </c>
      <c r="J7" s="69" t="s">
        <v>366</v>
      </c>
      <c r="K7" s="106"/>
      <c r="L7" s="106" t="n">
        <v>30</v>
      </c>
      <c r="M7" s="106" t="n">
        <v>50</v>
      </c>
      <c r="N7" s="69" t="s">
        <v>367</v>
      </c>
      <c r="O7" s="107" t="n">
        <v>0.9</v>
      </c>
      <c r="P7" s="69" t="s">
        <v>276</v>
      </c>
      <c r="Q7" s="69" t="s">
        <v>361</v>
      </c>
      <c r="R7" s="69" t="s">
        <v>237</v>
      </c>
      <c r="S7" s="69"/>
      <c r="T7" s="69" t="s">
        <v>368</v>
      </c>
      <c r="U7" s="108" t="n">
        <f aca="false">IF(K7&lt;&gt;"",K7,IF(AND(L7&lt;&gt;"",M7&lt;&gt;""),L7/60*M7,""))</f>
        <v>25</v>
      </c>
      <c r="V7" s="109" t="n">
        <f aca="false">IF(OR(I7="",U7="",O7=""),"",I7*U7*O7)</f>
        <v>33750</v>
      </c>
      <c r="W7" s="110" t="n">
        <f aca="false">IF(P7="","",IFERROR(INDEX('CFO Appendix'!$B$6:$B$8,MATCH(P7,'CFO Appendix'!$A$6:$A$8,0)),""))</f>
        <v>1</v>
      </c>
      <c r="X7" s="109" t="n">
        <f aca="false">IF(OR(V7="",W7=""),"",V7*W7)</f>
        <v>33750</v>
      </c>
      <c r="Y7" s="111" t="str">
        <f aca="false">IF(AND(B7="",C7=""),"",IF(C7="","Choose a capability",IF(AD7="","Capability not in this domain",IF(COUNTIFS($B$6:$B$30,B7,$C$6:$C$30,C7)&gt;1,"Chosen twice",IF(AC7="","Complete","Missing: "&amp;LEFT(AC7,LEN(AC7)-2))))))</f>
        <v>Complete</v>
      </c>
      <c r="Z7" s="112" t="str">
        <f aca="false">IF(V7="","",IF(AND(P7="Measured in our systems",Q7="Yes"),"A",IF(P7="Gut feeling","C","B")))</f>
        <v>A</v>
      </c>
      <c r="AA7" s="111" t="str">
        <f aca="false">IF(Y7&lt;&gt;"Complete","","We remove "&amp;FIXED(O7*100,0)&amp;"% of "&amp;FIXED(I7,0)&amp;" "&amp;H7&amp;" a year — worth €"&amp;FIXED(V7,0)&amp;" a year. The number is "&amp;IF(P7="Measured in our systems","measured",IF(P7="Qualified estimate","a qualified estimate","a gut feeling"))&amp;" ("&amp;J7&amp;"). Owner: "&amp;T7&amp;".")</f>
        <v>We remove 90% of 1,500 duplicates merged a year — worth €33,750 a year. The number is measured (SAP customer count, duplicate query). Owner: Head of Credit Management.</v>
      </c>
      <c r="AB7" s="113" t="str">
        <f aca="false">IF(C7="","",IF(AE7="",IF(Z7="A","Solid — measured and on the bottom line. Be ready to show the source.","Be ready to show where the numbers come from."),LEFT(AE7,LEN(AE7)-3)))</f>
        <v>Solid — measured and on the bottom line. Be ready to show the source.</v>
      </c>
      <c r="AC7" s="0" t="str">
        <f aca="false">IF(G7="","problem, ","")&amp;IF(H7="","what we count, ","")&amp;IF(I7="","times per year, ","")&amp;IF(J7="","source of times, ","")&amp;IF(U7="","cost each time, ","")&amp;IF(N7="","source of cost, ","")&amp;IF(O7="","share removed, ","")&amp;IF(P7="","how sure, ","")&amp;IF(Q7="","bottom line, ","")&amp;IF(R7="","shared benefit, ","")&amp;IF(AND(R7="Yes",S7=""),"which line, ","")&amp;IF(T7="","Benefit Owner, ","")</f>
        <v/>
      </c>
      <c r="AD7" s="123" t="n">
        <f aca="true">IF(OR(B7="",C7=""),"",IFERROR(MATCH(B7,Library!$D$5:$D$169,0)+MATCH(C7,OFFSET(Library!$E$5,MATCH(B7,Library!$D$5:$D$169,0)-1,0,COUNTIF(Library!$D$5:$D$169,B7),1),0)-1,""))</f>
        <v>3</v>
      </c>
      <c r="AE7" s="0" t="str">
        <f aca="false">IF(C7="","",IF(O7=1,"Is removing 100% of the problem realistic? · ","")&amp;IF(AND(P7="Gut feeling",ISNUMBER(V7)),IF(V7=MAX($V$6:$V$30),"Your biggest line rests on a gut feeling — can you measure it? · ","A gut feeling — what would it take to measure it? · "),"")&amp;IF(AND(P7="Qualified estimate",ISNUMBER(V7)),IF(V7=MAX($V$6:$V$30),"Your biggest line is an estimate — can you count it in your systems? · ",""),"")&amp;IF(Q7="No","How does the time saved turn into money? · ","")&amp;IF(AND(ISNUMBER(U7),N(U7)&gt;5000),"Check the cost: is it really per occurrence? · ","")&amp;IF(AND(ISNUMBER(I7),N(I7)&gt;100000),"Check the count: is it really per year? · ","")&amp;IF(R7="Yes","Merge or remove the overlap before the CFO sees it. · ",""))</f>
        <v/>
      </c>
      <c r="AF7" s="123" t="n">
        <f aca="false">IF(ISNUMBER(X7),X7+ROW()/1000000,"")</f>
        <v>33750.000007</v>
      </c>
    </row>
    <row r="8" customFormat="false" ht="61.5" hidden="false" customHeight="true" outlineLevel="0" collapsed="false">
      <c r="A8" s="103" t="s">
        <v>203</v>
      </c>
      <c r="B8" s="69" t="s">
        <v>355</v>
      </c>
      <c r="C8" s="69" t="s">
        <v>369</v>
      </c>
      <c r="D8" s="104" t="str">
        <f aca="false">IF(AD8="","",INDEX(Library!$F$5:$F$169,AD8))</f>
        <v>Business Processes</v>
      </c>
      <c r="E8" s="104" t="str">
        <f aca="false">IF(AD8="","",TRIM(IF(INDEX(Library!$G$5:$G$169,AD8)="Yes","SEE ","")&amp;IF(INDEX(Library!$H$5:$H$169,AD8)="Yes","STEER ","")&amp;IF(INDEX(Library!$I$5:$I$169,AD8)="Yes","KEEP","")))</f>
        <v>STEER</v>
      </c>
      <c r="F8" s="105" t="str">
        <f aca="false">IF(AD8="","",INDEX(Library!$J$5:$J$169,AD8)&amp;IF(INDEX(Library!$K$5:$K$169,AD8)="","",CHAR(10)&amp;"Count: "&amp;INDEX(Library!$K$5:$K$169,AD8)))</f>
        <v>SAP Joule acts as an AI copilot when new or changed customer records are created — real AI support (not rule-based), catching input errors at the source before they reach operations.
Count: new/changed customer records created/year</v>
      </c>
      <c r="G8" s="69" t="s">
        <v>370</v>
      </c>
      <c r="H8" s="69" t="s">
        <v>371</v>
      </c>
      <c r="I8" s="106" t="n">
        <v>6000</v>
      </c>
      <c r="J8" s="69" t="s">
        <v>372</v>
      </c>
      <c r="K8" s="106"/>
      <c r="L8" s="106" t="n">
        <v>15</v>
      </c>
      <c r="M8" s="106" t="n">
        <v>32</v>
      </c>
      <c r="N8" s="69" t="s">
        <v>373</v>
      </c>
      <c r="O8" s="107" t="n">
        <v>0.7</v>
      </c>
      <c r="P8" s="69" t="s">
        <v>276</v>
      </c>
      <c r="Q8" s="69" t="s">
        <v>237</v>
      </c>
      <c r="R8" s="69" t="s">
        <v>237</v>
      </c>
      <c r="S8" s="69"/>
      <c r="T8" s="69" t="s">
        <v>374</v>
      </c>
      <c r="U8" s="108" t="n">
        <f aca="false">IF(K8&lt;&gt;"",K8,IF(AND(L8&lt;&gt;"",M8&lt;&gt;""),L8/60*M8,""))</f>
        <v>8</v>
      </c>
      <c r="V8" s="109" t="n">
        <f aca="false">IF(OR(I8="",U8="",O8=""),"",I8*U8*O8)</f>
        <v>33600</v>
      </c>
      <c r="W8" s="110" t="n">
        <f aca="false">IF(P8="","",IFERROR(INDEX('CFO Appendix'!$B$6:$B$8,MATCH(P8,'CFO Appendix'!$A$6:$A$8,0)),""))</f>
        <v>1</v>
      </c>
      <c r="X8" s="109" t="n">
        <f aca="false">IF(OR(V8="",W8=""),"",V8*W8)</f>
        <v>33600</v>
      </c>
      <c r="Y8" s="111" t="str">
        <f aca="false">IF(AND(B8="",C8=""),"",IF(C8="","Choose a capability",IF(AD8="","Capability not in this domain",IF(COUNTIFS($B$6:$B$30,B8,$C$6:$C$30,C8)&gt;1,"Chosen twice",IF(AC8="","Complete","Missing: "&amp;LEFT(AC8,LEN(AC8)-2))))))</f>
        <v>Complete</v>
      </c>
      <c r="Z8" s="112" t="str">
        <f aca="false">IF(V8="","",IF(AND(P8="Measured in our systems",Q8="Yes"),"A",IF(P8="Gut feeling","C","B")))</f>
        <v>B</v>
      </c>
      <c r="AA8" s="111" t="str">
        <f aca="false">IF(Y8&lt;&gt;"Complete","","We remove "&amp;FIXED(O8*100,0)&amp;"% of "&amp;FIXED(I8,0)&amp;" "&amp;H8&amp;" a year — worth €"&amp;FIXED(V8,0)&amp;" a year. The number is "&amp;IF(P8="Measured in our systems","measured",IF(P8="Qualified estimate","a qualified estimate","a gut feeling"))&amp;" ("&amp;J8&amp;"). Owner: "&amp;T8&amp;".")</f>
        <v>We remove 70% of 6,000 customer requests reworked a year — worth €33,600 a year. The number is measured (Ticket system, last 12 months). Owner: Master Data Lead.</v>
      </c>
      <c r="AB8" s="113" t="str">
        <f aca="false">IF(C8="","",IF(AE8="",IF(Z8="A","Solid — measured and on the bottom line. Be ready to show the source.","Be ready to show where the numbers come from."),LEFT(AE8,LEN(AE8)-3)))</f>
        <v>How does the time saved turn into money?</v>
      </c>
      <c r="AC8" s="0" t="str">
        <f aca="false">IF(G8="","problem, ","")&amp;IF(H8="","what we count, ","")&amp;IF(I8="","times per year, ","")&amp;IF(J8="","source of times, ","")&amp;IF(U8="","cost each time, ","")&amp;IF(N8="","source of cost, ","")&amp;IF(O8="","share removed, ","")&amp;IF(P8="","how sure, ","")&amp;IF(Q8="","bottom line, ","")&amp;IF(R8="","shared benefit, ","")&amp;IF(AND(R8="Yes",S8=""),"which line, ","")&amp;IF(T8="","Benefit Owner, ","")</f>
        <v/>
      </c>
      <c r="AD8" s="123" t="n">
        <f aca="true">IF(OR(B8="",C8=""),"",IFERROR(MATCH(B8,Library!$D$5:$D$169,0)+MATCH(C8,OFFSET(Library!$E$5,MATCH(B8,Library!$D$5:$D$169,0)-1,0,COUNTIF(Library!$D$5:$D$169,B8),1),0)-1,""))</f>
        <v>1</v>
      </c>
      <c r="AE8" s="0" t="str">
        <f aca="false">IF(C8="","",IF(O8=1,"Is removing 100% of the problem realistic? · ","")&amp;IF(AND(P8="Gut feeling",ISNUMBER(V8)),IF(V8=MAX($V$6:$V$30),"Your biggest line rests on a gut feeling — can you measure it? · ","A gut feeling — what would it take to measure it? · "),"")&amp;IF(AND(P8="Qualified estimate",ISNUMBER(V8)),IF(V8=MAX($V$6:$V$30),"Your biggest line is an estimate — can you count it in your systems? · ",""),"")&amp;IF(Q8="No","How does the time saved turn into money? · ","")&amp;IF(AND(ISNUMBER(U8),N(U8)&gt;5000),"Check the cost: is it really per occurrence? · ","")&amp;IF(AND(ISNUMBER(I8),N(I8)&gt;100000),"Check the count: is it really per year? · ","")&amp;IF(R8="Yes","Merge or remove the overlap before the CFO sees it. · ",""))</f>
        <v>How does the time saved turn into money? · </v>
      </c>
      <c r="AF8" s="123" t="n">
        <f aca="false">IF(ISNUMBER(X8),X8+ROW()/1000000,"")</f>
        <v>33600.000008</v>
      </c>
    </row>
    <row r="9" customFormat="false" ht="61.5" hidden="false" customHeight="true" outlineLevel="0" collapsed="false">
      <c r="A9" s="103" t="s">
        <v>204</v>
      </c>
      <c r="B9" s="69" t="s">
        <v>355</v>
      </c>
      <c r="C9" s="69" t="s">
        <v>375</v>
      </c>
      <c r="D9" s="104" t="str">
        <f aca="false">IF(AD9="","",INDEX(Library!$F$5:$F$169,AD9))</f>
        <v>Business Processes</v>
      </c>
      <c r="E9" s="104" t="str">
        <f aca="false">IF(AD9="","",TRIM(IF(INDEX(Library!$G$5:$G$169,AD9)="Yes","SEE ","")&amp;IF(INDEX(Library!$H$5:$H$169,AD9)="Yes","STEER ","")&amp;IF(INDEX(Library!$I$5:$I$169,AD9)="Yes","KEEP","")))</f>
        <v>STEER</v>
      </c>
      <c r="F9" s="105" t="str">
        <f aca="false">IF(AD9="","",INDEX(Library!$J$5:$J$169,AD9)&amp;IF(INDEX(Library!$K$5:$K$169,AD9)="","",CHAR(10)&amp;"Count: "&amp;INDEX(Library!$K$5:$K$169,AD9)))</f>
        <v>Changes to customer master data are routed via SAP Business Workflow — rule-based routing with no confirmed AI logic. The real benefit is traceability (who requested, who approved), not AI.
Count: change requests processed/year</v>
      </c>
      <c r="G9" s="69" t="s">
        <v>376</v>
      </c>
      <c r="H9" s="69" t="s">
        <v>377</v>
      </c>
      <c r="I9" s="106" t="n">
        <v>3000</v>
      </c>
      <c r="J9" s="69" t="s">
        <v>378</v>
      </c>
      <c r="K9" s="106" t="n">
        <v>5</v>
      </c>
      <c r="L9" s="106"/>
      <c r="M9" s="106"/>
      <c r="N9" s="69" t="s">
        <v>379</v>
      </c>
      <c r="O9" s="107" t="n">
        <v>0.6</v>
      </c>
      <c r="P9" s="69" t="s">
        <v>278</v>
      </c>
      <c r="Q9" s="69" t="s">
        <v>237</v>
      </c>
      <c r="R9" s="69" t="s">
        <v>237</v>
      </c>
      <c r="S9" s="69"/>
      <c r="T9" s="69" t="s">
        <v>374</v>
      </c>
      <c r="U9" s="108" t="n">
        <f aca="false">IF(K9&lt;&gt;"",K9,IF(AND(L9&lt;&gt;"",M9&lt;&gt;""),L9/60*M9,""))</f>
        <v>5</v>
      </c>
      <c r="V9" s="109" t="n">
        <f aca="false">IF(OR(I9="",U9="",O9=""),"",I9*U9*O9)</f>
        <v>9000</v>
      </c>
      <c r="W9" s="110" t="n">
        <f aca="false">IF(P9="","",IFERROR(INDEX('CFO Appendix'!$B$6:$B$8,MATCH(P9,'CFO Appendix'!$A$6:$A$8,0)),""))</f>
        <v>0.7</v>
      </c>
      <c r="X9" s="109" t="n">
        <f aca="false">IF(OR(V9="",W9=""),"",V9*W9)</f>
        <v>6300</v>
      </c>
      <c r="Y9" s="111" t="str">
        <f aca="false">IF(AND(B9="",C9=""),"",IF(C9="","Choose a capability",IF(AD9="","Capability not in this domain",IF(COUNTIFS($B$6:$B$30,B9,$C$6:$C$30,C9)&gt;1,"Chosen twice",IF(AC9="","Complete","Missing: "&amp;LEFT(AC9,LEN(AC9)-2))))))</f>
        <v>Complete</v>
      </c>
      <c r="Z9" s="112" t="str">
        <f aca="false">IF(V9="","",IF(AND(P9="Measured in our systems",Q9="Yes"),"A",IF(P9="Gut feeling","C","B")))</f>
        <v>B</v>
      </c>
      <c r="AA9" s="111" t="str">
        <f aca="false">IF(Y9&lt;&gt;"Complete","","We remove "&amp;FIXED(O9*100,0)&amp;"% of "&amp;FIXED(I9,0)&amp;" "&amp;H9&amp;" a year — worth €"&amp;FIXED(V9,0)&amp;" a year. The number is "&amp;IF(P9="Measured in our systems","measured",IF(P9="Qualified estimate","a qualified estimate","a gut feeling"))&amp;" ("&amp;J9&amp;"). Owner: "&amp;T9&amp;".")</f>
        <v>We remove 60% of 3,000 change requests a year — worth €9,000 a year. The number is a qualified estimate (Workflow log, last 12 months). Owner: Master Data Lead.</v>
      </c>
      <c r="AB9" s="113" t="str">
        <f aca="false">IF(C9="","",IF(AE9="",IF(Z9="A","Solid — measured and on the bottom line. Be ready to show the source.","Be ready to show where the numbers come from."),LEFT(AE9,LEN(AE9)-3)))</f>
        <v>How does the time saved turn into money?</v>
      </c>
      <c r="AC9" s="0" t="str">
        <f aca="false">IF(G9="","problem, ","")&amp;IF(H9="","what we count, ","")&amp;IF(I9="","times per year, ","")&amp;IF(J9="","source of times, ","")&amp;IF(U9="","cost each time, ","")&amp;IF(N9="","source of cost, ","")&amp;IF(O9="","share removed, ","")&amp;IF(P9="","how sure, ","")&amp;IF(Q9="","bottom line, ","")&amp;IF(R9="","shared benefit, ","")&amp;IF(AND(R9="Yes",S9=""),"which line, ","")&amp;IF(T9="","Benefit Owner, ","")</f>
        <v/>
      </c>
      <c r="AD9" s="123" t="n">
        <f aca="true">IF(OR(B9="",C9=""),"",IFERROR(MATCH(B9,Library!$D$5:$D$169,0)+MATCH(C9,OFFSET(Library!$E$5,MATCH(B9,Library!$D$5:$D$169,0)-1,0,COUNTIF(Library!$D$5:$D$169,B9),1),0)-1,""))</f>
        <v>4</v>
      </c>
      <c r="AE9" s="0" t="str">
        <f aca="false">IF(C9="","",IF(O9=1,"Is removing 100% of the problem realistic? · ","")&amp;IF(AND(P9="Gut feeling",ISNUMBER(V9)),IF(V9=MAX($V$6:$V$30),"Your biggest line rests on a gut feeling — can you measure it? · ","A gut feeling — what would it take to measure it? · "),"")&amp;IF(AND(P9="Qualified estimate",ISNUMBER(V9)),IF(V9=MAX($V$6:$V$30),"Your biggest line is an estimate — can you count it in your systems? · ",""),"")&amp;IF(Q9="No","How does the time saved turn into money? · ","")&amp;IF(AND(ISNUMBER(U9),N(U9)&gt;5000),"Check the cost: is it really per occurrence? · ","")&amp;IF(AND(ISNUMBER(I9),N(I9)&gt;100000),"Check the count: is it really per year? · ","")&amp;IF(R9="Yes","Merge or remove the overlap before the CFO sees it. · ",""))</f>
        <v>How does the time saved turn into money? · </v>
      </c>
      <c r="AF9" s="123" t="n">
        <f aca="false">IF(ISNUMBER(X9),X9+ROW()/1000000,"")</f>
        <v>6300.000009</v>
      </c>
    </row>
    <row r="10" customFormat="false" ht="61.5" hidden="false" customHeight="true" outlineLevel="0" collapsed="false">
      <c r="A10" s="103" t="s">
        <v>205</v>
      </c>
      <c r="B10" s="69" t="s">
        <v>355</v>
      </c>
      <c r="C10" s="69" t="s">
        <v>380</v>
      </c>
      <c r="D10" s="104" t="str">
        <f aca="false">IF(AD10="","",INDEX(Library!$F$5:$F$169,AD10))</f>
        <v>Business Processes</v>
      </c>
      <c r="E10" s="104" t="str">
        <f aca="false">IF(AD10="","",TRIM(IF(INDEX(Library!$G$5:$G$169,AD10)="Yes","SEE ","")&amp;IF(INDEX(Library!$H$5:$H$169,AD10)="Yes","STEER ","")&amp;IF(INDEX(Library!$I$5:$I$169,AD10)="Yes","KEEP","")))</f>
        <v>SEE STEER KEEP</v>
      </c>
      <c r="F10" s="105" t="str">
        <f aca="false">IF(AD10="","",INDEX(Library!$J$5:$J$169,AD10)&amp;IF(INDEX(Library!$K$5:$K$169,AD10)="","",CHAR(10)&amp;"Count: "&amp;INDEX(Library!$K$5:$K$169,AD10)))</f>
        <v>Ongoing compliance monitoring after creation — today with no confirmed SAP AI/ML feature behind it. The value lies in the continuous control itself; no AI component should be claimed here.
Count: compliance deviations caught/year</v>
      </c>
      <c r="G10" s="69" t="s">
        <v>381</v>
      </c>
      <c r="H10" s="69" t="s">
        <v>382</v>
      </c>
      <c r="I10" s="106" t="n">
        <v>50</v>
      </c>
      <c r="J10" s="69" t="s">
        <v>383</v>
      </c>
      <c r="K10" s="106" t="n">
        <v>400</v>
      </c>
      <c r="L10" s="106"/>
      <c r="M10" s="106"/>
      <c r="N10" s="69" t="s">
        <v>384</v>
      </c>
      <c r="O10" s="107" t="n">
        <v>0.5</v>
      </c>
      <c r="P10" s="69" t="s">
        <v>280</v>
      </c>
      <c r="Q10" s="69" t="s">
        <v>361</v>
      </c>
      <c r="R10" s="69" t="s">
        <v>237</v>
      </c>
      <c r="S10" s="69"/>
      <c r="T10" s="69" t="s">
        <v>385</v>
      </c>
      <c r="U10" s="108" t="n">
        <f aca="false">IF(K10&lt;&gt;"",K10,IF(AND(L10&lt;&gt;"",M10&lt;&gt;""),L10/60*M10,""))</f>
        <v>400</v>
      </c>
      <c r="V10" s="109" t="n">
        <f aca="false">IF(OR(I10="",U10="",O10=""),"",I10*U10*O10)</f>
        <v>10000</v>
      </c>
      <c r="W10" s="110" t="n">
        <f aca="false">IF(P10="","",IFERROR(INDEX('CFO Appendix'!$B$6:$B$8,MATCH(P10,'CFO Appendix'!$A$6:$A$8,0)),""))</f>
        <v>0.4</v>
      </c>
      <c r="X10" s="109" t="n">
        <f aca="false">IF(OR(V10="",W10=""),"",V10*W10)</f>
        <v>4000</v>
      </c>
      <c r="Y10" s="111" t="str">
        <f aca="false">IF(AND(B10="",C10=""),"",IF(C10="","Choose a capability",IF(AD10="","Capability not in this domain",IF(COUNTIFS($B$6:$B$30,B10,$C$6:$C$30,C10)&gt;1,"Chosen twice",IF(AC10="","Complete","Missing: "&amp;LEFT(AC10,LEN(AC10)-2))))))</f>
        <v>Complete</v>
      </c>
      <c r="Z10" s="112" t="str">
        <f aca="false">IF(V10="","",IF(AND(P10="Measured in our systems",Q10="Yes"),"A",IF(P10="Gut feeling","C","B")))</f>
        <v>C</v>
      </c>
      <c r="AA10" s="111" t="str">
        <f aca="false">IF(Y10&lt;&gt;"Complete","","We remove "&amp;FIXED(O10*100,0)&amp;"% of "&amp;FIXED(I10,0)&amp;" "&amp;H10&amp;" a year — worth €"&amp;FIXED(V10,0)&amp;" a year. The number is "&amp;IF(P10="Measured in our systems","measured",IF(P10="Qualified estimate","a qualified estimate","a gut feeling"))&amp;" ("&amp;J10&amp;"). Owner: "&amp;T10&amp;".")</f>
        <v>We remove 50% of 50 deviations caught earlier a year — worth €10,000 a year. The number is a gut feeling (Compliance log). Owner: Head of Compliance.</v>
      </c>
      <c r="AB10" s="113" t="str">
        <f aca="false">IF(C10="","",IF(AE10="",IF(Z10="A","Solid — measured and on the bottom line. Be ready to show the source.","Be ready to show where the numbers come from."),LEFT(AE10,LEN(AE10)-3)))</f>
        <v>A gut feeling — what would it take to measure it?</v>
      </c>
      <c r="AC10" s="0" t="str">
        <f aca="false">IF(G10="","problem, ","")&amp;IF(H10="","what we count, ","")&amp;IF(I10="","times per year, ","")&amp;IF(J10="","source of times, ","")&amp;IF(U10="","cost each time, ","")&amp;IF(N10="","source of cost, ","")&amp;IF(O10="","share removed, ","")&amp;IF(P10="","how sure, ","")&amp;IF(Q10="","bottom line, ","")&amp;IF(R10="","shared benefit, ","")&amp;IF(AND(R10="Yes",S10=""),"which line, ","")&amp;IF(T10="","Benefit Owner, ","")</f>
        <v/>
      </c>
      <c r="AD10" s="123" t="n">
        <f aca="true">IF(OR(B10="",C10=""),"",IFERROR(MATCH(B10,Library!$D$5:$D$169,0)+MATCH(C10,OFFSET(Library!$E$5,MATCH(B10,Library!$D$5:$D$169,0)-1,0,COUNTIF(Library!$D$5:$D$169,B10),1),0)-1,""))</f>
        <v>5</v>
      </c>
      <c r="AE10" s="0" t="str">
        <f aca="false">IF(C10="","",IF(O10=1,"Is removing 100% of the problem realistic? · ","")&amp;IF(AND(P10="Gut feeling",ISNUMBER(V10)),IF(V10=MAX($V$6:$V$30),"Your biggest line rests on a gut feeling — can you measure it? · ","A gut feeling — what would it take to measure it? · "),"")&amp;IF(AND(P10="Qualified estimate",ISNUMBER(V10)),IF(V10=MAX($V$6:$V$30),"Your biggest line is an estimate — can you count it in your systems? · ",""),"")&amp;IF(Q10="No","How does the time saved turn into money? · ","")&amp;IF(AND(ISNUMBER(U10),N(U10)&gt;5000),"Check the cost: is it really per occurrence? · ","")&amp;IF(AND(ISNUMBER(I10),N(I10)&gt;100000),"Check the count: is it really per year? · ","")&amp;IF(R10="Yes","Merge or remove the overlap before the CFO sees it. · ",""))</f>
        <v>A gut feeling — what would it take to measure it? · </v>
      </c>
      <c r="AF10" s="123" t="n">
        <f aca="false">IF(ISNUMBER(X10),X10+ROW()/1000000,"")</f>
        <v>4000.00001</v>
      </c>
    </row>
    <row r="11" customFormat="false" ht="54" hidden="false" customHeight="true" outlineLevel="0" collapsed="false">
      <c r="A11" s="103" t="s">
        <v>206</v>
      </c>
      <c r="B11" s="69" t="s">
        <v>355</v>
      </c>
      <c r="C11" s="69" t="s">
        <v>386</v>
      </c>
      <c r="D11" s="104" t="str">
        <f aca="false">IF(AD11="","",INDEX(Library!$F$5:$F$169,AD11))</f>
        <v>Platforms &amp; Tools</v>
      </c>
      <c r="E11" s="104" t="str">
        <f aca="false">IF(AD11="","",TRIM(IF(INDEX(Library!$G$5:$G$169,AD11)="Yes","SEE ","")&amp;IF(INDEX(Library!$H$5:$H$169,AD11)="Yes","STEER ","")&amp;IF(INDEX(Library!$I$5:$I$169,AD11)="Yes","KEEP","")))</f>
        <v/>
      </c>
      <c r="F11" s="105" t="str">
        <f aca="false">IF(AD11="","",INDEX(Library!$J$5:$J$169,AD11)&amp;IF(INDEX(Library!$K$5:$K$169,AD11)="","",CHAR(10)&amp;"Count: "&amp;INDEX(Library!$K$5:$K$169,AD11)))</f>
        <v>The MDG platform's own operation and configuration — no AI component, no housekeeping flag. The technical foundation the other 14 capabilities in the domain depend on.
Count: n/a — platform operations, not transaction-based</v>
      </c>
      <c r="G11" s="69" t="s">
        <v>387</v>
      </c>
      <c r="H11" s="69" t="s">
        <v>388</v>
      </c>
      <c r="I11" s="106" t="n">
        <v>600</v>
      </c>
      <c r="J11" s="69" t="s">
        <v>389</v>
      </c>
      <c r="K11" s="106"/>
      <c r="L11" s="106" t="n">
        <v>105</v>
      </c>
      <c r="M11" s="106" t="n">
        <v>60</v>
      </c>
      <c r="N11" s="69" t="s">
        <v>390</v>
      </c>
      <c r="O11" s="107" t="n">
        <v>0.6</v>
      </c>
      <c r="P11" s="69" t="s">
        <v>278</v>
      </c>
      <c r="Q11" s="69" t="s">
        <v>361</v>
      </c>
      <c r="R11" s="69" t="s">
        <v>237</v>
      </c>
      <c r="S11" s="69"/>
      <c r="T11" s="69" t="s">
        <v>391</v>
      </c>
      <c r="U11" s="108" t="n">
        <f aca="false">IF(K11&lt;&gt;"",K11,IF(AND(L11&lt;&gt;"",M11&lt;&gt;""),L11/60*M11,""))</f>
        <v>105</v>
      </c>
      <c r="V11" s="109" t="n">
        <f aca="false">IF(OR(I11="",U11="",O11=""),"",I11*U11*O11)</f>
        <v>37800</v>
      </c>
      <c r="W11" s="110" t="n">
        <f aca="false">IF(P11="","",IFERROR(INDEX('CFO Appendix'!$B$6:$B$8,MATCH(P11,'CFO Appendix'!$A$6:$A$8,0)),""))</f>
        <v>0.7</v>
      </c>
      <c r="X11" s="109" t="n">
        <f aca="false">IF(OR(V11="",W11=""),"",V11*W11)</f>
        <v>26460</v>
      </c>
      <c r="Y11" s="111" t="str">
        <f aca="false">IF(AND(B11="",C11=""),"",IF(C11="","Choose a capability",IF(AD11="","Capability not in this domain",IF(COUNTIFS($B$6:$B$30,B11,$C$6:$C$30,C11)&gt;1,"Chosen twice",IF(AC11="","Complete","Missing: "&amp;LEFT(AC11,LEN(AC11)-2))))))</f>
        <v>Complete</v>
      </c>
      <c r="Z11" s="112" t="str">
        <f aca="false">IF(V11="","",IF(AND(P11="Measured in our systems",Q11="Yes"),"A",IF(P11="Gut feeling","C","B")))</f>
        <v>B</v>
      </c>
      <c r="AA11" s="111" t="str">
        <f aca="false">IF(Y11&lt;&gt;"Complete","","We remove "&amp;FIXED(O11*100,0)&amp;"% of "&amp;FIXED(I11,0)&amp;" "&amp;H11&amp;" a year — worth €"&amp;FIXED(V11,0)&amp;" a year. The number is "&amp;IF(P11="Measured in our systems","measured",IF(P11="Qualified estimate","a qualified estimate","a gut feeling"))&amp;" ("&amp;J11&amp;"). Owner: "&amp;T11&amp;".")</f>
        <v>We remove 60% of 600 IT support tickets a year — worth €37,800 a year. The number is a qualified estimate (Estimate from team lead — not yet counted). Owner: Head of Master Data.</v>
      </c>
      <c r="AB11" s="113" t="str">
        <f aca="false">IF(C11="","",IF(AE11="",IF(Z11="A","Solid — measured and on the bottom line. Be ready to show the source.","Be ready to show where the numbers come from."),LEFT(AE11,LEN(AE11)-3)))</f>
        <v>Be ready to show where the numbers come from.</v>
      </c>
      <c r="AC11" s="0" t="str">
        <f aca="false">IF(G11="","problem, ","")&amp;IF(H11="","what we count, ","")&amp;IF(I11="","times per year, ","")&amp;IF(J11="","source of times, ","")&amp;IF(U11="","cost each time, ","")&amp;IF(N11="","source of cost, ","")&amp;IF(O11="","share removed, ","")&amp;IF(P11="","how sure, ","")&amp;IF(Q11="","bottom line, ","")&amp;IF(R11="","shared benefit, ","")&amp;IF(AND(R11="Yes",S11=""),"which line, ","")&amp;IF(T11="","Benefit Owner, ","")</f>
        <v/>
      </c>
      <c r="AD11" s="123" t="n">
        <f aca="true">IF(OR(B11="",C11=""),"",IFERROR(MATCH(B11,Library!$D$5:$D$169,0)+MATCH(C11,OFFSET(Library!$E$5,MATCH(B11,Library!$D$5:$D$169,0)-1,0,COUNTIF(Library!$D$5:$D$169,B11),1),0)-1,""))</f>
        <v>6</v>
      </c>
      <c r="AE11" s="0" t="str">
        <f aca="false">IF(C11="","",IF(O11=1,"Is removing 100% of the problem realistic? · ","")&amp;IF(AND(P11="Gut feeling",ISNUMBER(V11)),IF(V11=MAX($V$6:$V$30),"Your biggest line rests on a gut feeling — can you measure it? · ","A gut feeling — what would it take to measure it? · "),"")&amp;IF(AND(P11="Qualified estimate",ISNUMBER(V11)),IF(V11=MAX($V$6:$V$30),"Your biggest line is an estimate — can you count it in your systems? · ",""),"")&amp;IF(Q11="No","How does the time saved turn into money? · ","")&amp;IF(AND(ISNUMBER(U11),N(U11)&gt;5000),"Check the cost: is it really per occurrence? · ","")&amp;IF(AND(ISNUMBER(I11),N(I11)&gt;100000),"Check the count: is it really per year? · ","")&amp;IF(R11="Yes","Merge or remove the overlap before the CFO sees it. · ",""))</f>
        <v/>
      </c>
      <c r="AF11" s="123" t="n">
        <f aca="false">IF(ISNUMBER(X11),X11+ROW()/1000000,"")</f>
        <v>26460.000011</v>
      </c>
    </row>
    <row r="12" customFormat="false" ht="54" hidden="false" customHeight="true" outlineLevel="0" collapsed="false">
      <c r="A12" s="103" t="s">
        <v>207</v>
      </c>
      <c r="B12" s="69" t="s">
        <v>355</v>
      </c>
      <c r="C12" s="69" t="s">
        <v>392</v>
      </c>
      <c r="D12" s="104" t="str">
        <f aca="false">IF(AD12="","",INDEX(Library!$F$5:$F$169,AD12))</f>
        <v>People &amp; Competencies</v>
      </c>
      <c r="E12" s="104" t="str">
        <f aca="false">IF(AD12="","",TRIM(IF(INDEX(Library!$G$5:$G$169,AD12)="Yes","SEE ","")&amp;IF(INDEX(Library!$H$5:$H$169,AD12)="Yes","STEER ","")&amp;IF(INDEX(Library!$I$5:$I$169,AD12)="Yes","KEEP","")))</f>
        <v/>
      </c>
      <c r="F12" s="105" t="str">
        <f aca="false">IF(AD12="","",INDEX(Library!$J$5:$J$169,AD12)&amp;IF(INDEX(Library!$K$5:$K$169,AD12)="","",CHAR(10)&amp;"Count: "&amp;INDEX(Library!$K$5:$K$169,AD12)))</f>
        <v>A pure competence capability — no AI, no housekeeping flag. Ensures at least one person actually understands how the preceding nine capabilities fit together in practice.
Count: n/a — competence capability, not transaction-based</v>
      </c>
      <c r="G12" s="69" t="s">
        <v>393</v>
      </c>
      <c r="H12" s="69" t="s">
        <v>394</v>
      </c>
      <c r="I12" s="106" t="n">
        <v>2500</v>
      </c>
      <c r="J12" s="69" t="s">
        <v>395</v>
      </c>
      <c r="K12" s="106"/>
      <c r="L12" s="106" t="n">
        <v>60</v>
      </c>
      <c r="M12" s="106" t="n">
        <v>48</v>
      </c>
      <c r="N12" s="69" t="s">
        <v>396</v>
      </c>
      <c r="O12" s="107" t="n">
        <v>0.5</v>
      </c>
      <c r="P12" s="69" t="s">
        <v>278</v>
      </c>
      <c r="Q12" s="69" t="s">
        <v>237</v>
      </c>
      <c r="R12" s="69" t="s">
        <v>237</v>
      </c>
      <c r="S12" s="69"/>
      <c r="T12" s="69" t="s">
        <v>391</v>
      </c>
      <c r="U12" s="108" t="n">
        <f aca="false">IF(K12&lt;&gt;"",K12,IF(AND(L12&lt;&gt;"",M12&lt;&gt;""),L12/60*M12,""))</f>
        <v>48</v>
      </c>
      <c r="V12" s="109" t="n">
        <f aca="false">IF(OR(I12="",U12="",O12=""),"",I12*U12*O12)</f>
        <v>60000</v>
      </c>
      <c r="W12" s="110" t="n">
        <f aca="false">IF(P12="","",IFERROR(INDEX('CFO Appendix'!$B$6:$B$8,MATCH(P12,'CFO Appendix'!$A$6:$A$8,0)),""))</f>
        <v>0.7</v>
      </c>
      <c r="X12" s="109" t="n">
        <f aca="false">IF(OR(V12="",W12=""),"",V12*W12)</f>
        <v>42000</v>
      </c>
      <c r="Y12" s="111" t="str">
        <f aca="false">IF(AND(B12="",C12=""),"",IF(C12="","Choose a capability",IF(AD12="","Capability not in this domain",IF(COUNTIFS($B$6:$B$30,B12,$C$6:$C$30,C12)&gt;1,"Chosen twice",IF(AC12="","Complete","Missing: "&amp;LEFT(AC12,LEN(AC12)-2))))))</f>
        <v>Complete</v>
      </c>
      <c r="Z12" s="112" t="str">
        <f aca="false">IF(V12="","",IF(AND(P12="Measured in our systems",Q12="Yes"),"A",IF(P12="Gut feeling","C","B")))</f>
        <v>B</v>
      </c>
      <c r="AA12" s="111" t="str">
        <f aca="false">IF(Y12&lt;&gt;"Complete","","We remove "&amp;FIXED(O12*100,0)&amp;"% of "&amp;FIXED(I12,0)&amp;" "&amp;H12&amp;" a year — worth €"&amp;FIXED(V12,0)&amp;" a year. The number is "&amp;IF(P12="Measured in our systems","measured",IF(P12="Qualified estimate","a qualified estimate","a gut feeling"))&amp;" ("&amp;J12&amp;"). Owner: "&amp;T12&amp;".")</f>
        <v>We remove 50% of 2,500 specialist hours on exceptions a year — worth €60,000 a year. The number is a qualified estimate (Time registration, 8 local specialists (estimate)). Owner: Head of Master Data.</v>
      </c>
      <c r="AB12" s="113" t="str">
        <f aca="false">IF(C12="","",IF(AE12="",IF(Z12="A","Solid — measured and on the bottom line. Be ready to show the source.","Be ready to show where the numbers come from."),LEFT(AE12,LEN(AE12)-3)))</f>
        <v>Your biggest line is an estimate — can you count it in your systems? · How does the time saved turn into money?</v>
      </c>
      <c r="AC12" s="0" t="str">
        <f aca="false">IF(G12="","problem, ","")&amp;IF(H12="","what we count, ","")&amp;IF(I12="","times per year, ","")&amp;IF(J12="","source of times, ","")&amp;IF(U12="","cost each time, ","")&amp;IF(N12="","source of cost, ","")&amp;IF(O12="","share removed, ","")&amp;IF(P12="","how sure, ","")&amp;IF(Q12="","bottom line, ","")&amp;IF(R12="","shared benefit, ","")&amp;IF(AND(R12="Yes",S12=""),"which line, ","")&amp;IF(T12="","Benefit Owner, ","")</f>
        <v/>
      </c>
      <c r="AD12" s="123" t="n">
        <f aca="true">IF(OR(B12="",C12=""),"",IFERROR(MATCH(B12,Library!$D$5:$D$169,0)+MATCH(C12,OFFSET(Library!$E$5,MATCH(B12,Library!$D$5:$D$169,0)-1,0,COUNTIF(Library!$D$5:$D$169,B12),1),0)-1,""))</f>
        <v>11</v>
      </c>
      <c r="AE12" s="0" t="str">
        <f aca="false">IF(C12="","",IF(O12=1,"Is removing 100% of the problem realistic? · ","")&amp;IF(AND(P12="Gut feeling",ISNUMBER(V12)),IF(V12=MAX($V$6:$V$30),"Your biggest line rests on a gut feeling — can you measure it? · ","A gut feeling — what would it take to measure it? · "),"")&amp;IF(AND(P12="Qualified estimate",ISNUMBER(V12)),IF(V12=MAX($V$6:$V$30),"Your biggest line is an estimate — can you count it in your systems? · ",""),"")&amp;IF(Q12="No","How does the time saved turn into money? · ","")&amp;IF(AND(ISNUMBER(U12),N(U12)&gt;5000),"Check the cost: is it really per occurrence? · ","")&amp;IF(AND(ISNUMBER(I12),N(I12)&gt;100000),"Check the count: is it really per year? · ","")&amp;IF(R12="Yes","Merge or remove the overlap before the CFO sees it. · ",""))</f>
        <v>Your biggest line is an estimate — can you count it in your systems? · How does the time saved turn into money? · </v>
      </c>
      <c r="AF12" s="123" t="n">
        <f aca="false">IF(ISNUMBER(X12),X12+ROW()/1000000,"")</f>
        <v>42000.000012</v>
      </c>
    </row>
    <row r="13" customFormat="false" ht="48" hidden="false" customHeight="true" outlineLevel="0" collapsed="false">
      <c r="A13" s="103" t="s">
        <v>208</v>
      </c>
      <c r="B13" s="69"/>
      <c r="C13" s="69"/>
      <c r="D13" s="104" t="str">
        <f aca="false">IF(AD13="","",INDEX(Library!$F$5:$F$169,AD13))</f>
        <v/>
      </c>
      <c r="E13" s="104" t="str">
        <f aca="false">IF(AD13="","",TRIM(IF(INDEX(Library!$G$5:$G$169,AD13)="Yes","SEE ","")&amp;IF(INDEX(Library!$H$5:$H$169,AD13)="Yes","STEER ","")&amp;IF(INDEX(Library!$I$5:$I$169,AD13)="Yes","KEEP","")))</f>
        <v/>
      </c>
      <c r="F13" s="105" t="str">
        <f aca="false">IF(AD13="","",INDEX(Library!$J$5:$J$169,AD13)&amp;IF(INDEX(Library!$K$5:$K$169,AD13)="","",CHAR(10)&amp;"Count: "&amp;INDEX(Library!$K$5:$K$169,AD13)))</f>
        <v/>
      </c>
      <c r="G13" s="69"/>
      <c r="H13" s="69"/>
      <c r="I13" s="106"/>
      <c r="J13" s="69"/>
      <c r="K13" s="106"/>
      <c r="L13" s="106"/>
      <c r="M13" s="106"/>
      <c r="N13" s="69"/>
      <c r="O13" s="107"/>
      <c r="P13" s="69"/>
      <c r="Q13" s="69"/>
      <c r="R13" s="69"/>
      <c r="S13" s="69"/>
      <c r="T13" s="69"/>
      <c r="U13" s="108" t="str">
        <f aca="false">IF(K13&lt;&gt;"",K13,IF(AND(L13&lt;&gt;"",M13&lt;&gt;""),L13/60*M13,""))</f>
        <v/>
      </c>
      <c r="V13" s="109" t="str">
        <f aca="false">IF(OR(I13="",U13="",O13=""),"",I13*U13*O13)</f>
        <v/>
      </c>
      <c r="W13" s="110" t="str">
        <f aca="false">IF(P13="","",IFERROR(INDEX('CFO Appendix'!$B$6:$B$8,MATCH(P13,'CFO Appendix'!$A$6:$A$8,0)),""))</f>
        <v/>
      </c>
      <c r="X13" s="109" t="str">
        <f aca="false">IF(OR(V13="",W13=""),"",V13*W13)</f>
        <v/>
      </c>
      <c r="Y13" s="111" t="str">
        <f aca="false">IF(AND(B13="",C13=""),"",IF(C13="","Choose a capability",IF(AD13="","Capability not in this domain",IF(COUNTIFS($B$6:$B$30,B13,$C$6:$C$30,C13)&gt;1,"Chosen twice",IF(AC13="","Complete","Missing: "&amp;LEFT(AC13,LEN(AC13)-2))))))</f>
        <v/>
      </c>
      <c r="Z13" s="112" t="str">
        <f aca="false">IF(V13="","",IF(AND(P13="Measured in our systems",Q13="Yes"),"A",IF(P13="Gut feeling","C","B")))</f>
        <v/>
      </c>
      <c r="AA13" s="111" t="str">
        <f aca="false">IF(Y13&lt;&gt;"Complete","","We remove "&amp;FIXED(O13*100,0)&amp;"% of "&amp;FIXED(I13,0)&amp;" "&amp;H13&amp;" a year — worth €"&amp;FIXED(V13,0)&amp;" a year. The number is "&amp;IF(P13="Measured in our systems","measured",IF(P13="Qualified estimate","a qualified estimate","a gut feeling"))&amp;" ("&amp;J13&amp;"). Owner: "&amp;T13&amp;".")</f>
        <v/>
      </c>
      <c r="AB13" s="113" t="str">
        <f aca="false">IF(C13="","",IF(AE13="",IF(Z13="A","Solid — measured and on the bottom line. Be ready to show the source.","Be ready to show where the numbers come from."),LEFT(AE13,LEN(AE13)-3)))</f>
        <v/>
      </c>
      <c r="AC13" s="0" t="str">
        <f aca="false">IF(G13="","problem, ","")&amp;IF(H13="","what we count, ","")&amp;IF(I13="","times per year, ","")&amp;IF(J13="","source of times, ","")&amp;IF(U13="","cost each time, ","")&amp;IF(N13="","source of cost, ","")&amp;IF(O13="","share removed, ","")&amp;IF(P13="","how sure, ","")&amp;IF(Q13="","bottom line, ","")&amp;IF(R13="","shared benefit, ","")&amp;IF(AND(R13="Yes",S13=""),"which line, ","")&amp;IF(T13="","Benefit Owner, ","")</f>
        <v>problem, what we count, times per year, source of times, cost each time, source of cost, share removed, how sure, bottom line, shared benefit, Benefit Owner, </v>
      </c>
      <c r="AD13" s="0" t="str">
        <f aca="true">IF(OR(B13="",C13=""),"",IFERROR(MATCH(B13,Library!$D$5:$D$169,0)+MATCH(C13,OFFSET(Library!$E$5,MATCH(B13,Library!$D$5:$D$169,0)-1,0,COUNTIF(Library!$D$5:$D$169,B13),1),0)-1,""))</f>
        <v/>
      </c>
      <c r="AE13" s="0" t="str">
        <f aca="false">IF(C13="","",IF(O13=1,"Is removing 100% of the problem realistic? · ","")&amp;IF(AND(P13="Gut feeling",ISNUMBER(V13)),IF(V13=MAX($V$6:$V$30),"Your biggest line rests on a gut feeling — can you measure it? · ","A gut feeling — what would it take to measure it? · "),"")&amp;IF(AND(P13="Qualified estimate",ISNUMBER(V13)),IF(V13=MAX($V$6:$V$30),"Your biggest line is an estimate — can you count it in your systems? · ",""),"")&amp;IF(Q13="No","How does the time saved turn into money? · ","")&amp;IF(AND(ISNUMBER(U13),N(U13)&gt;5000),"Check the cost: is it really per occurrence? · ","")&amp;IF(AND(ISNUMBER(I13),N(I13)&gt;100000),"Check the count: is it really per year? · ","")&amp;IF(R13="Yes","Merge or remove the overlap before the CFO sees it. · ",""))</f>
        <v/>
      </c>
      <c r="AF13" s="0" t="str">
        <f aca="false">IF(ISNUMBER(X13),X13+ROW()/1000000,"")</f>
        <v/>
      </c>
    </row>
    <row r="14" customFormat="false" ht="48" hidden="false" customHeight="true" outlineLevel="0" collapsed="false">
      <c r="A14" s="103" t="s">
        <v>209</v>
      </c>
      <c r="B14" s="69"/>
      <c r="C14" s="69"/>
      <c r="D14" s="104" t="str">
        <f aca="false">IF(AD14="","",INDEX(Library!$F$5:$F$169,AD14))</f>
        <v/>
      </c>
      <c r="E14" s="104" t="str">
        <f aca="false">IF(AD14="","",TRIM(IF(INDEX(Library!$G$5:$G$169,AD14)="Yes","SEE ","")&amp;IF(INDEX(Library!$H$5:$H$169,AD14)="Yes","STEER ","")&amp;IF(INDEX(Library!$I$5:$I$169,AD14)="Yes","KEEP","")))</f>
        <v/>
      </c>
      <c r="F14" s="105" t="str">
        <f aca="false">IF(AD14="","",INDEX(Library!$J$5:$J$169,AD14)&amp;IF(INDEX(Library!$K$5:$K$169,AD14)="","",CHAR(10)&amp;"Count: "&amp;INDEX(Library!$K$5:$K$169,AD14)))</f>
        <v/>
      </c>
      <c r="G14" s="69"/>
      <c r="H14" s="69"/>
      <c r="I14" s="106"/>
      <c r="J14" s="69"/>
      <c r="K14" s="106"/>
      <c r="L14" s="106"/>
      <c r="M14" s="106"/>
      <c r="N14" s="69"/>
      <c r="O14" s="107"/>
      <c r="P14" s="69"/>
      <c r="Q14" s="69"/>
      <c r="R14" s="69"/>
      <c r="S14" s="69"/>
      <c r="T14" s="69"/>
      <c r="U14" s="108" t="str">
        <f aca="false">IF(K14&lt;&gt;"",K14,IF(AND(L14&lt;&gt;"",M14&lt;&gt;""),L14/60*M14,""))</f>
        <v/>
      </c>
      <c r="V14" s="109" t="str">
        <f aca="false">IF(OR(I14="",U14="",O14=""),"",I14*U14*O14)</f>
        <v/>
      </c>
      <c r="W14" s="110" t="str">
        <f aca="false">IF(P14="","",IFERROR(INDEX('CFO Appendix'!$B$6:$B$8,MATCH(P14,'CFO Appendix'!$A$6:$A$8,0)),""))</f>
        <v/>
      </c>
      <c r="X14" s="109" t="str">
        <f aca="false">IF(OR(V14="",W14=""),"",V14*W14)</f>
        <v/>
      </c>
      <c r="Y14" s="111" t="str">
        <f aca="false">IF(AND(B14="",C14=""),"",IF(C14="","Choose a capability",IF(AD14="","Capability not in this domain",IF(COUNTIFS($B$6:$B$30,B14,$C$6:$C$30,C14)&gt;1,"Chosen twice",IF(AC14="","Complete","Missing: "&amp;LEFT(AC14,LEN(AC14)-2))))))</f>
        <v/>
      </c>
      <c r="Z14" s="112" t="str">
        <f aca="false">IF(V14="","",IF(AND(P14="Measured in our systems",Q14="Yes"),"A",IF(P14="Gut feeling","C","B")))</f>
        <v/>
      </c>
      <c r="AA14" s="111" t="str">
        <f aca="false">IF(Y14&lt;&gt;"Complete","","We remove "&amp;FIXED(O14*100,0)&amp;"% of "&amp;FIXED(I14,0)&amp;" "&amp;H14&amp;" a year — worth €"&amp;FIXED(V14,0)&amp;" a year. The number is "&amp;IF(P14="Measured in our systems","measured",IF(P14="Qualified estimate","a qualified estimate","a gut feeling"))&amp;" ("&amp;J14&amp;"). Owner: "&amp;T14&amp;".")</f>
        <v/>
      </c>
      <c r="AB14" s="113" t="str">
        <f aca="false">IF(C14="","",IF(AE14="",IF(Z14="A","Solid — measured and on the bottom line. Be ready to show the source.","Be ready to show where the numbers come from."),LEFT(AE14,LEN(AE14)-3)))</f>
        <v/>
      </c>
      <c r="AC14" s="0" t="str">
        <f aca="false">IF(G14="","problem, ","")&amp;IF(H14="","what we count, ","")&amp;IF(I14="","times per year, ","")&amp;IF(J14="","source of times, ","")&amp;IF(U14="","cost each time, ","")&amp;IF(N14="","source of cost, ","")&amp;IF(O14="","share removed, ","")&amp;IF(P14="","how sure, ","")&amp;IF(Q14="","bottom line, ","")&amp;IF(R14="","shared benefit, ","")&amp;IF(AND(R14="Yes",S14=""),"which line, ","")&amp;IF(T14="","Benefit Owner, ","")</f>
        <v>problem, what we count, times per year, source of times, cost each time, source of cost, share removed, how sure, bottom line, shared benefit, Benefit Owner, </v>
      </c>
      <c r="AD14" s="0" t="str">
        <f aca="true">IF(OR(B14="",C14=""),"",IFERROR(MATCH(B14,Library!$D$5:$D$169,0)+MATCH(C14,OFFSET(Library!$E$5,MATCH(B14,Library!$D$5:$D$169,0)-1,0,COUNTIF(Library!$D$5:$D$169,B14),1),0)-1,""))</f>
        <v/>
      </c>
      <c r="AE14" s="0" t="str">
        <f aca="false">IF(C14="","",IF(O14=1,"Is removing 100% of the problem realistic? · ","")&amp;IF(AND(P14="Gut feeling",ISNUMBER(V14)),IF(V14=MAX($V$6:$V$30),"Your biggest line rests on a gut feeling — can you measure it? · ","A gut feeling — what would it take to measure it? · "),"")&amp;IF(AND(P14="Qualified estimate",ISNUMBER(V14)),IF(V14=MAX($V$6:$V$30),"Your biggest line is an estimate — can you count it in your systems? · ",""),"")&amp;IF(Q14="No","How does the time saved turn into money? · ","")&amp;IF(AND(ISNUMBER(U14),N(U14)&gt;5000),"Check the cost: is it really per occurrence? · ","")&amp;IF(AND(ISNUMBER(I14),N(I14)&gt;100000),"Check the count: is it really per year? · ","")&amp;IF(R14="Yes","Merge or remove the overlap before the CFO sees it. · ",""))</f>
        <v/>
      </c>
      <c r="AF14" s="0" t="str">
        <f aca="false">IF(ISNUMBER(X14),X14+ROW()/1000000,"")</f>
        <v/>
      </c>
    </row>
    <row r="15" customFormat="false" ht="48" hidden="false" customHeight="true" outlineLevel="0" collapsed="false">
      <c r="A15" s="103" t="s">
        <v>210</v>
      </c>
      <c r="B15" s="69"/>
      <c r="C15" s="69"/>
      <c r="D15" s="104" t="str">
        <f aca="false">IF(AD15="","",INDEX(Library!$F$5:$F$169,AD15))</f>
        <v/>
      </c>
      <c r="E15" s="104" t="str">
        <f aca="false">IF(AD15="","",TRIM(IF(INDEX(Library!$G$5:$G$169,AD15)="Yes","SEE ","")&amp;IF(INDEX(Library!$H$5:$H$169,AD15)="Yes","STEER ","")&amp;IF(INDEX(Library!$I$5:$I$169,AD15)="Yes","KEEP","")))</f>
        <v/>
      </c>
      <c r="F15" s="105" t="str">
        <f aca="false">IF(AD15="","",INDEX(Library!$J$5:$J$169,AD15)&amp;IF(INDEX(Library!$K$5:$K$169,AD15)="","",CHAR(10)&amp;"Count: "&amp;INDEX(Library!$K$5:$K$169,AD15)))</f>
        <v/>
      </c>
      <c r="G15" s="69"/>
      <c r="H15" s="69"/>
      <c r="I15" s="106"/>
      <c r="J15" s="69"/>
      <c r="K15" s="106"/>
      <c r="L15" s="106"/>
      <c r="M15" s="106"/>
      <c r="N15" s="69"/>
      <c r="O15" s="107"/>
      <c r="P15" s="69"/>
      <c r="Q15" s="69"/>
      <c r="R15" s="69"/>
      <c r="S15" s="69"/>
      <c r="T15" s="69"/>
      <c r="U15" s="108" t="str">
        <f aca="false">IF(K15&lt;&gt;"",K15,IF(AND(L15&lt;&gt;"",M15&lt;&gt;""),L15/60*M15,""))</f>
        <v/>
      </c>
      <c r="V15" s="109" t="str">
        <f aca="false">IF(OR(I15="",U15="",O15=""),"",I15*U15*O15)</f>
        <v/>
      </c>
      <c r="W15" s="110" t="str">
        <f aca="false">IF(P15="","",IFERROR(INDEX('CFO Appendix'!$B$6:$B$8,MATCH(P15,'CFO Appendix'!$A$6:$A$8,0)),""))</f>
        <v/>
      </c>
      <c r="X15" s="109" t="str">
        <f aca="false">IF(OR(V15="",W15=""),"",V15*W15)</f>
        <v/>
      </c>
      <c r="Y15" s="111" t="str">
        <f aca="false">IF(AND(B15="",C15=""),"",IF(C15="","Choose a capability",IF(AD15="","Capability not in this domain",IF(COUNTIFS($B$6:$B$30,B15,$C$6:$C$30,C15)&gt;1,"Chosen twice",IF(AC15="","Complete","Missing: "&amp;LEFT(AC15,LEN(AC15)-2))))))</f>
        <v/>
      </c>
      <c r="Z15" s="112" t="str">
        <f aca="false">IF(V15="","",IF(AND(P15="Measured in our systems",Q15="Yes"),"A",IF(P15="Gut feeling","C","B")))</f>
        <v/>
      </c>
      <c r="AA15" s="111" t="str">
        <f aca="false">IF(Y15&lt;&gt;"Complete","","We remove "&amp;FIXED(O15*100,0)&amp;"% of "&amp;FIXED(I15,0)&amp;" "&amp;H15&amp;" a year — worth €"&amp;FIXED(V15,0)&amp;" a year. The number is "&amp;IF(P15="Measured in our systems","measured",IF(P15="Qualified estimate","a qualified estimate","a gut feeling"))&amp;" ("&amp;J15&amp;"). Owner: "&amp;T15&amp;".")</f>
        <v/>
      </c>
      <c r="AB15" s="113" t="str">
        <f aca="false">IF(C15="","",IF(AE15="",IF(Z15="A","Solid — measured and on the bottom line. Be ready to show the source.","Be ready to show where the numbers come from."),LEFT(AE15,LEN(AE15)-3)))</f>
        <v/>
      </c>
      <c r="AC15" s="0" t="str">
        <f aca="false">IF(G15="","problem, ","")&amp;IF(H15="","what we count, ","")&amp;IF(I15="","times per year, ","")&amp;IF(J15="","source of times, ","")&amp;IF(U15="","cost each time, ","")&amp;IF(N15="","source of cost, ","")&amp;IF(O15="","share removed, ","")&amp;IF(P15="","how sure, ","")&amp;IF(Q15="","bottom line, ","")&amp;IF(R15="","shared benefit, ","")&amp;IF(AND(R15="Yes",S15=""),"which line, ","")&amp;IF(T15="","Benefit Owner, ","")</f>
        <v>problem, what we count, times per year, source of times, cost each time, source of cost, share removed, how sure, bottom line, shared benefit, Benefit Owner, </v>
      </c>
      <c r="AD15" s="0" t="str">
        <f aca="true">IF(OR(B15="",C15=""),"",IFERROR(MATCH(B15,Library!$D$5:$D$169,0)+MATCH(C15,OFFSET(Library!$E$5,MATCH(B15,Library!$D$5:$D$169,0)-1,0,COUNTIF(Library!$D$5:$D$169,B15),1),0)-1,""))</f>
        <v/>
      </c>
      <c r="AE15" s="0" t="str">
        <f aca="false">IF(C15="","",IF(O15=1,"Is removing 100% of the problem realistic? · ","")&amp;IF(AND(P15="Gut feeling",ISNUMBER(V15)),IF(V15=MAX($V$6:$V$30),"Your biggest line rests on a gut feeling — can you measure it? · ","A gut feeling — what would it take to measure it? · "),"")&amp;IF(AND(P15="Qualified estimate",ISNUMBER(V15)),IF(V15=MAX($V$6:$V$30),"Your biggest line is an estimate — can you count it in your systems? · ",""),"")&amp;IF(Q15="No","How does the time saved turn into money? · ","")&amp;IF(AND(ISNUMBER(U15),N(U15)&gt;5000),"Check the cost: is it really per occurrence? · ","")&amp;IF(AND(ISNUMBER(I15),N(I15)&gt;100000),"Check the count: is it really per year? · ","")&amp;IF(R15="Yes","Merge or remove the overlap before the CFO sees it. · ",""))</f>
        <v/>
      </c>
      <c r="AF15" s="0" t="str">
        <f aca="false">IF(ISNUMBER(X15),X15+ROW()/1000000,"")</f>
        <v/>
      </c>
    </row>
    <row r="16" customFormat="false" ht="48" hidden="false" customHeight="true" outlineLevel="0" collapsed="false">
      <c r="A16" s="103" t="s">
        <v>211</v>
      </c>
      <c r="B16" s="69"/>
      <c r="C16" s="69"/>
      <c r="D16" s="104" t="str">
        <f aca="false">IF(AD16="","",INDEX(Library!$F$5:$F$169,AD16))</f>
        <v/>
      </c>
      <c r="E16" s="104" t="str">
        <f aca="false">IF(AD16="","",TRIM(IF(INDEX(Library!$G$5:$G$169,AD16)="Yes","SEE ","")&amp;IF(INDEX(Library!$H$5:$H$169,AD16)="Yes","STEER ","")&amp;IF(INDEX(Library!$I$5:$I$169,AD16)="Yes","KEEP","")))</f>
        <v/>
      </c>
      <c r="F16" s="105" t="str">
        <f aca="false">IF(AD16="","",INDEX(Library!$J$5:$J$169,AD16)&amp;IF(INDEX(Library!$K$5:$K$169,AD16)="","",CHAR(10)&amp;"Count: "&amp;INDEX(Library!$K$5:$K$169,AD16)))</f>
        <v/>
      </c>
      <c r="G16" s="69"/>
      <c r="H16" s="69"/>
      <c r="I16" s="106"/>
      <c r="J16" s="69"/>
      <c r="K16" s="106"/>
      <c r="L16" s="106"/>
      <c r="M16" s="106"/>
      <c r="N16" s="69"/>
      <c r="O16" s="107"/>
      <c r="P16" s="69"/>
      <c r="Q16" s="69"/>
      <c r="R16" s="69"/>
      <c r="S16" s="69"/>
      <c r="T16" s="69"/>
      <c r="U16" s="108" t="str">
        <f aca="false">IF(K16&lt;&gt;"",K16,IF(AND(L16&lt;&gt;"",M16&lt;&gt;""),L16/60*M16,""))</f>
        <v/>
      </c>
      <c r="V16" s="109" t="str">
        <f aca="false">IF(OR(I16="",U16="",O16=""),"",I16*U16*O16)</f>
        <v/>
      </c>
      <c r="W16" s="110" t="str">
        <f aca="false">IF(P16="","",IFERROR(INDEX('CFO Appendix'!$B$6:$B$8,MATCH(P16,'CFO Appendix'!$A$6:$A$8,0)),""))</f>
        <v/>
      </c>
      <c r="X16" s="109" t="str">
        <f aca="false">IF(OR(V16="",W16=""),"",V16*W16)</f>
        <v/>
      </c>
      <c r="Y16" s="111" t="str">
        <f aca="false">IF(AND(B16="",C16=""),"",IF(C16="","Choose a capability",IF(AD16="","Capability not in this domain",IF(COUNTIFS($B$6:$B$30,B16,$C$6:$C$30,C16)&gt;1,"Chosen twice",IF(AC16="","Complete","Missing: "&amp;LEFT(AC16,LEN(AC16)-2))))))</f>
        <v/>
      </c>
      <c r="Z16" s="112" t="str">
        <f aca="false">IF(V16="","",IF(AND(P16="Measured in our systems",Q16="Yes"),"A",IF(P16="Gut feeling","C","B")))</f>
        <v/>
      </c>
      <c r="AA16" s="111" t="str">
        <f aca="false">IF(Y16&lt;&gt;"Complete","","We remove "&amp;FIXED(O16*100,0)&amp;"% of "&amp;FIXED(I16,0)&amp;" "&amp;H16&amp;" a year — worth €"&amp;FIXED(V16,0)&amp;" a year. The number is "&amp;IF(P16="Measured in our systems","measured",IF(P16="Qualified estimate","a qualified estimate","a gut feeling"))&amp;" ("&amp;J16&amp;"). Owner: "&amp;T16&amp;".")</f>
        <v/>
      </c>
      <c r="AB16" s="113" t="str">
        <f aca="false">IF(C16="","",IF(AE16="",IF(Z16="A","Solid — measured and on the bottom line. Be ready to show the source.","Be ready to show where the numbers come from."),LEFT(AE16,LEN(AE16)-3)))</f>
        <v/>
      </c>
      <c r="AC16" s="0" t="str">
        <f aca="false">IF(G16="","problem, ","")&amp;IF(H16="","what we count, ","")&amp;IF(I16="","times per year, ","")&amp;IF(J16="","source of times, ","")&amp;IF(U16="","cost each time, ","")&amp;IF(N16="","source of cost, ","")&amp;IF(O16="","share removed, ","")&amp;IF(P16="","how sure, ","")&amp;IF(Q16="","bottom line, ","")&amp;IF(R16="","shared benefit, ","")&amp;IF(AND(R16="Yes",S16=""),"which line, ","")&amp;IF(T16="","Benefit Owner, ","")</f>
        <v>problem, what we count, times per year, source of times, cost each time, source of cost, share removed, how sure, bottom line, shared benefit, Benefit Owner, </v>
      </c>
      <c r="AD16" s="0" t="str">
        <f aca="true">IF(OR(B16="",C16=""),"",IFERROR(MATCH(B16,Library!$D$5:$D$169,0)+MATCH(C16,OFFSET(Library!$E$5,MATCH(B16,Library!$D$5:$D$169,0)-1,0,COUNTIF(Library!$D$5:$D$169,B16),1),0)-1,""))</f>
        <v/>
      </c>
      <c r="AE16" s="0" t="str">
        <f aca="false">IF(C16="","",IF(O16=1,"Is removing 100% of the problem realistic? · ","")&amp;IF(AND(P16="Gut feeling",ISNUMBER(V16)),IF(V16=MAX($V$6:$V$30),"Your biggest line rests on a gut feeling — can you measure it? · ","A gut feeling — what would it take to measure it? · "),"")&amp;IF(AND(P16="Qualified estimate",ISNUMBER(V16)),IF(V16=MAX($V$6:$V$30),"Your biggest line is an estimate — can you count it in your systems? · ",""),"")&amp;IF(Q16="No","How does the time saved turn into money? · ","")&amp;IF(AND(ISNUMBER(U16),N(U16)&gt;5000),"Check the cost: is it really per occurrence? · ","")&amp;IF(AND(ISNUMBER(I16),N(I16)&gt;100000),"Check the count: is it really per year? · ","")&amp;IF(R16="Yes","Merge or remove the overlap before the CFO sees it. · ",""))</f>
        <v/>
      </c>
      <c r="AF16" s="0" t="str">
        <f aca="false">IF(ISNUMBER(X16),X16+ROW()/1000000,"")</f>
        <v/>
      </c>
    </row>
    <row r="17" customFormat="false" ht="48" hidden="false" customHeight="true" outlineLevel="0" collapsed="false">
      <c r="A17" s="103" t="s">
        <v>212</v>
      </c>
      <c r="B17" s="69"/>
      <c r="C17" s="69"/>
      <c r="D17" s="104" t="str">
        <f aca="false">IF(AD17="","",INDEX(Library!$F$5:$F$169,AD17))</f>
        <v/>
      </c>
      <c r="E17" s="104" t="str">
        <f aca="false">IF(AD17="","",TRIM(IF(INDEX(Library!$G$5:$G$169,AD17)="Yes","SEE ","")&amp;IF(INDEX(Library!$H$5:$H$169,AD17)="Yes","STEER ","")&amp;IF(INDEX(Library!$I$5:$I$169,AD17)="Yes","KEEP","")))</f>
        <v/>
      </c>
      <c r="F17" s="105" t="str">
        <f aca="false">IF(AD17="","",INDEX(Library!$J$5:$J$169,AD17)&amp;IF(INDEX(Library!$K$5:$K$169,AD17)="","",CHAR(10)&amp;"Count: "&amp;INDEX(Library!$K$5:$K$169,AD17)))</f>
        <v/>
      </c>
      <c r="G17" s="69"/>
      <c r="H17" s="69"/>
      <c r="I17" s="106"/>
      <c r="J17" s="69"/>
      <c r="K17" s="106"/>
      <c r="L17" s="106"/>
      <c r="M17" s="106"/>
      <c r="N17" s="69"/>
      <c r="O17" s="107"/>
      <c r="P17" s="69"/>
      <c r="Q17" s="69"/>
      <c r="R17" s="69"/>
      <c r="S17" s="69"/>
      <c r="T17" s="69"/>
      <c r="U17" s="108" t="str">
        <f aca="false">IF(K17&lt;&gt;"",K17,IF(AND(L17&lt;&gt;"",M17&lt;&gt;""),L17/60*M17,""))</f>
        <v/>
      </c>
      <c r="V17" s="109" t="str">
        <f aca="false">IF(OR(I17="",U17="",O17=""),"",I17*U17*O17)</f>
        <v/>
      </c>
      <c r="W17" s="110" t="str">
        <f aca="false">IF(P17="","",IFERROR(INDEX('CFO Appendix'!$B$6:$B$8,MATCH(P17,'CFO Appendix'!$A$6:$A$8,0)),""))</f>
        <v/>
      </c>
      <c r="X17" s="109" t="str">
        <f aca="false">IF(OR(V17="",W17=""),"",V17*W17)</f>
        <v/>
      </c>
      <c r="Y17" s="111" t="str">
        <f aca="false">IF(AND(B17="",C17=""),"",IF(C17="","Choose a capability",IF(AD17="","Capability not in this domain",IF(COUNTIFS($B$6:$B$30,B17,$C$6:$C$30,C17)&gt;1,"Chosen twice",IF(AC17="","Complete","Missing: "&amp;LEFT(AC17,LEN(AC17)-2))))))</f>
        <v/>
      </c>
      <c r="Z17" s="112" t="str">
        <f aca="false">IF(V17="","",IF(AND(P17="Measured in our systems",Q17="Yes"),"A",IF(P17="Gut feeling","C","B")))</f>
        <v/>
      </c>
      <c r="AA17" s="111" t="str">
        <f aca="false">IF(Y17&lt;&gt;"Complete","","We remove "&amp;FIXED(O17*100,0)&amp;"% of "&amp;FIXED(I17,0)&amp;" "&amp;H17&amp;" a year — worth €"&amp;FIXED(V17,0)&amp;" a year. The number is "&amp;IF(P17="Measured in our systems","measured",IF(P17="Qualified estimate","a qualified estimate","a gut feeling"))&amp;" ("&amp;J17&amp;"). Owner: "&amp;T17&amp;".")</f>
        <v/>
      </c>
      <c r="AB17" s="113" t="str">
        <f aca="false">IF(C17="","",IF(AE17="",IF(Z17="A","Solid — measured and on the bottom line. Be ready to show the source.","Be ready to show where the numbers come from."),LEFT(AE17,LEN(AE17)-3)))</f>
        <v/>
      </c>
      <c r="AC17" s="0" t="str">
        <f aca="false">IF(G17="","problem, ","")&amp;IF(H17="","what we count, ","")&amp;IF(I17="","times per year, ","")&amp;IF(J17="","source of times, ","")&amp;IF(U17="","cost each time, ","")&amp;IF(N17="","source of cost, ","")&amp;IF(O17="","share removed, ","")&amp;IF(P17="","how sure, ","")&amp;IF(Q17="","bottom line, ","")&amp;IF(R17="","shared benefit, ","")&amp;IF(AND(R17="Yes",S17=""),"which line, ","")&amp;IF(T17="","Benefit Owner, ","")</f>
        <v>problem, what we count, times per year, source of times, cost each time, source of cost, share removed, how sure, bottom line, shared benefit, Benefit Owner, </v>
      </c>
      <c r="AD17" s="0" t="str">
        <f aca="true">IF(OR(B17="",C17=""),"",IFERROR(MATCH(B17,Library!$D$5:$D$169,0)+MATCH(C17,OFFSET(Library!$E$5,MATCH(B17,Library!$D$5:$D$169,0)-1,0,COUNTIF(Library!$D$5:$D$169,B17),1),0)-1,""))</f>
        <v/>
      </c>
      <c r="AE17" s="0" t="str">
        <f aca="false">IF(C17="","",IF(O17=1,"Is removing 100% of the problem realistic? · ","")&amp;IF(AND(P17="Gut feeling",ISNUMBER(V17)),IF(V17=MAX($V$6:$V$30),"Your biggest line rests on a gut feeling — can you measure it? · ","A gut feeling — what would it take to measure it? · "),"")&amp;IF(AND(P17="Qualified estimate",ISNUMBER(V17)),IF(V17=MAX($V$6:$V$30),"Your biggest line is an estimate — can you count it in your systems? · ",""),"")&amp;IF(Q17="No","How does the time saved turn into money? · ","")&amp;IF(AND(ISNUMBER(U17),N(U17)&gt;5000),"Check the cost: is it really per occurrence? · ","")&amp;IF(AND(ISNUMBER(I17),N(I17)&gt;100000),"Check the count: is it really per year? · ","")&amp;IF(R17="Yes","Merge or remove the overlap before the CFO sees it. · ",""))</f>
        <v/>
      </c>
      <c r="AF17" s="0" t="str">
        <f aca="false">IF(ISNUMBER(X17),X17+ROW()/1000000,"")</f>
        <v/>
      </c>
    </row>
    <row r="18" customFormat="false" ht="48" hidden="false" customHeight="true" outlineLevel="0" collapsed="false">
      <c r="A18" s="103" t="s">
        <v>213</v>
      </c>
      <c r="B18" s="69"/>
      <c r="C18" s="69"/>
      <c r="D18" s="104" t="str">
        <f aca="false">IF(AD18="","",INDEX(Library!$F$5:$F$169,AD18))</f>
        <v/>
      </c>
      <c r="E18" s="104" t="str">
        <f aca="false">IF(AD18="","",TRIM(IF(INDEX(Library!$G$5:$G$169,AD18)="Yes","SEE ","")&amp;IF(INDEX(Library!$H$5:$H$169,AD18)="Yes","STEER ","")&amp;IF(INDEX(Library!$I$5:$I$169,AD18)="Yes","KEEP","")))</f>
        <v/>
      </c>
      <c r="F18" s="105" t="str">
        <f aca="false">IF(AD18="","",INDEX(Library!$J$5:$J$169,AD18)&amp;IF(INDEX(Library!$K$5:$K$169,AD18)="","",CHAR(10)&amp;"Count: "&amp;INDEX(Library!$K$5:$K$169,AD18)))</f>
        <v/>
      </c>
      <c r="G18" s="69"/>
      <c r="H18" s="69"/>
      <c r="I18" s="106"/>
      <c r="J18" s="69"/>
      <c r="K18" s="106"/>
      <c r="L18" s="106"/>
      <c r="M18" s="106"/>
      <c r="N18" s="69"/>
      <c r="O18" s="107"/>
      <c r="P18" s="69"/>
      <c r="Q18" s="69"/>
      <c r="R18" s="69"/>
      <c r="S18" s="69"/>
      <c r="T18" s="69"/>
      <c r="U18" s="108" t="str">
        <f aca="false">IF(K18&lt;&gt;"",K18,IF(AND(L18&lt;&gt;"",M18&lt;&gt;""),L18/60*M18,""))</f>
        <v/>
      </c>
      <c r="V18" s="109" t="str">
        <f aca="false">IF(OR(I18="",U18="",O18=""),"",I18*U18*O18)</f>
        <v/>
      </c>
      <c r="W18" s="110" t="str">
        <f aca="false">IF(P18="","",IFERROR(INDEX('CFO Appendix'!$B$6:$B$8,MATCH(P18,'CFO Appendix'!$A$6:$A$8,0)),""))</f>
        <v/>
      </c>
      <c r="X18" s="109" t="str">
        <f aca="false">IF(OR(V18="",W18=""),"",V18*W18)</f>
        <v/>
      </c>
      <c r="Y18" s="111" t="str">
        <f aca="false">IF(AND(B18="",C18=""),"",IF(C18="","Choose a capability",IF(AD18="","Capability not in this domain",IF(COUNTIFS($B$6:$B$30,B18,$C$6:$C$30,C18)&gt;1,"Chosen twice",IF(AC18="","Complete","Missing: "&amp;LEFT(AC18,LEN(AC18)-2))))))</f>
        <v/>
      </c>
      <c r="Z18" s="112" t="str">
        <f aca="false">IF(V18="","",IF(AND(P18="Measured in our systems",Q18="Yes"),"A",IF(P18="Gut feeling","C","B")))</f>
        <v/>
      </c>
      <c r="AA18" s="111" t="str">
        <f aca="false">IF(Y18&lt;&gt;"Complete","","We remove "&amp;FIXED(O18*100,0)&amp;"% of "&amp;FIXED(I18,0)&amp;" "&amp;H18&amp;" a year — worth €"&amp;FIXED(V18,0)&amp;" a year. The number is "&amp;IF(P18="Measured in our systems","measured",IF(P18="Qualified estimate","a qualified estimate","a gut feeling"))&amp;" ("&amp;J18&amp;"). Owner: "&amp;T18&amp;".")</f>
        <v/>
      </c>
      <c r="AB18" s="113" t="str">
        <f aca="false">IF(C18="","",IF(AE18="",IF(Z18="A","Solid — measured and on the bottom line. Be ready to show the source.","Be ready to show where the numbers come from."),LEFT(AE18,LEN(AE18)-3)))</f>
        <v/>
      </c>
      <c r="AC18" s="0" t="str">
        <f aca="false">IF(G18="","problem, ","")&amp;IF(H18="","what we count, ","")&amp;IF(I18="","times per year, ","")&amp;IF(J18="","source of times, ","")&amp;IF(U18="","cost each time, ","")&amp;IF(N18="","source of cost, ","")&amp;IF(O18="","share removed, ","")&amp;IF(P18="","how sure, ","")&amp;IF(Q18="","bottom line, ","")&amp;IF(R18="","shared benefit, ","")&amp;IF(AND(R18="Yes",S18=""),"which line, ","")&amp;IF(T18="","Benefit Owner, ","")</f>
        <v>problem, what we count, times per year, source of times, cost each time, source of cost, share removed, how sure, bottom line, shared benefit, Benefit Owner, </v>
      </c>
      <c r="AD18" s="0" t="str">
        <f aca="true">IF(OR(B18="",C18=""),"",IFERROR(MATCH(B18,Library!$D$5:$D$169,0)+MATCH(C18,OFFSET(Library!$E$5,MATCH(B18,Library!$D$5:$D$169,0)-1,0,COUNTIF(Library!$D$5:$D$169,B18),1),0)-1,""))</f>
        <v/>
      </c>
      <c r="AE18" s="0" t="str">
        <f aca="false">IF(C18="","",IF(O18=1,"Is removing 100% of the problem realistic? · ","")&amp;IF(AND(P18="Gut feeling",ISNUMBER(V18)),IF(V18=MAX($V$6:$V$30),"Your biggest line rests on a gut feeling — can you measure it? · ","A gut feeling — what would it take to measure it? · "),"")&amp;IF(AND(P18="Qualified estimate",ISNUMBER(V18)),IF(V18=MAX($V$6:$V$30),"Your biggest line is an estimate — can you count it in your systems? · ",""),"")&amp;IF(Q18="No","How does the time saved turn into money? · ","")&amp;IF(AND(ISNUMBER(U18),N(U18)&gt;5000),"Check the cost: is it really per occurrence? · ","")&amp;IF(AND(ISNUMBER(I18),N(I18)&gt;100000),"Check the count: is it really per year? · ","")&amp;IF(R18="Yes","Merge or remove the overlap before the CFO sees it. · ",""))</f>
        <v/>
      </c>
      <c r="AF18" s="0" t="str">
        <f aca="false">IF(ISNUMBER(X18),X18+ROW()/1000000,"")</f>
        <v/>
      </c>
    </row>
    <row r="19" customFormat="false" ht="48" hidden="false" customHeight="true" outlineLevel="0" collapsed="false">
      <c r="A19" s="103" t="s">
        <v>214</v>
      </c>
      <c r="B19" s="69"/>
      <c r="C19" s="69"/>
      <c r="D19" s="104" t="str">
        <f aca="false">IF(AD19="","",INDEX(Library!$F$5:$F$169,AD19))</f>
        <v/>
      </c>
      <c r="E19" s="104" t="str">
        <f aca="false">IF(AD19="","",TRIM(IF(INDEX(Library!$G$5:$G$169,AD19)="Yes","SEE ","")&amp;IF(INDEX(Library!$H$5:$H$169,AD19)="Yes","STEER ","")&amp;IF(INDEX(Library!$I$5:$I$169,AD19)="Yes","KEEP","")))</f>
        <v/>
      </c>
      <c r="F19" s="105" t="str">
        <f aca="false">IF(AD19="","",INDEX(Library!$J$5:$J$169,AD19)&amp;IF(INDEX(Library!$K$5:$K$169,AD19)="","",CHAR(10)&amp;"Count: "&amp;INDEX(Library!$K$5:$K$169,AD19)))</f>
        <v/>
      </c>
      <c r="G19" s="69"/>
      <c r="H19" s="69"/>
      <c r="I19" s="106"/>
      <c r="J19" s="69"/>
      <c r="K19" s="106"/>
      <c r="L19" s="106"/>
      <c r="M19" s="106"/>
      <c r="N19" s="69"/>
      <c r="O19" s="107"/>
      <c r="P19" s="69"/>
      <c r="Q19" s="69"/>
      <c r="R19" s="69"/>
      <c r="S19" s="69"/>
      <c r="T19" s="69"/>
      <c r="U19" s="108" t="str">
        <f aca="false">IF(K19&lt;&gt;"",K19,IF(AND(L19&lt;&gt;"",M19&lt;&gt;""),L19/60*M19,""))</f>
        <v/>
      </c>
      <c r="V19" s="109" t="str">
        <f aca="false">IF(OR(I19="",U19="",O19=""),"",I19*U19*O19)</f>
        <v/>
      </c>
      <c r="W19" s="110" t="str">
        <f aca="false">IF(P19="","",IFERROR(INDEX('CFO Appendix'!$B$6:$B$8,MATCH(P19,'CFO Appendix'!$A$6:$A$8,0)),""))</f>
        <v/>
      </c>
      <c r="X19" s="109" t="str">
        <f aca="false">IF(OR(V19="",W19=""),"",V19*W19)</f>
        <v/>
      </c>
      <c r="Y19" s="111" t="str">
        <f aca="false">IF(AND(B19="",C19=""),"",IF(C19="","Choose a capability",IF(AD19="","Capability not in this domain",IF(COUNTIFS($B$6:$B$30,B19,$C$6:$C$30,C19)&gt;1,"Chosen twice",IF(AC19="","Complete","Missing: "&amp;LEFT(AC19,LEN(AC19)-2))))))</f>
        <v/>
      </c>
      <c r="Z19" s="112" t="str">
        <f aca="false">IF(V19="","",IF(AND(P19="Measured in our systems",Q19="Yes"),"A",IF(P19="Gut feeling","C","B")))</f>
        <v/>
      </c>
      <c r="AA19" s="111" t="str">
        <f aca="false">IF(Y19&lt;&gt;"Complete","","We remove "&amp;FIXED(O19*100,0)&amp;"% of "&amp;FIXED(I19,0)&amp;" "&amp;H19&amp;" a year — worth €"&amp;FIXED(V19,0)&amp;" a year. The number is "&amp;IF(P19="Measured in our systems","measured",IF(P19="Qualified estimate","a qualified estimate","a gut feeling"))&amp;" ("&amp;J19&amp;"). Owner: "&amp;T19&amp;".")</f>
        <v/>
      </c>
      <c r="AB19" s="113" t="str">
        <f aca="false">IF(C19="","",IF(AE19="",IF(Z19="A","Solid — measured and on the bottom line. Be ready to show the source.","Be ready to show where the numbers come from."),LEFT(AE19,LEN(AE19)-3)))</f>
        <v/>
      </c>
      <c r="AC19" s="0" t="str">
        <f aca="false">IF(G19="","problem, ","")&amp;IF(H19="","what we count, ","")&amp;IF(I19="","times per year, ","")&amp;IF(J19="","source of times, ","")&amp;IF(U19="","cost each time, ","")&amp;IF(N19="","source of cost, ","")&amp;IF(O19="","share removed, ","")&amp;IF(P19="","how sure, ","")&amp;IF(Q19="","bottom line, ","")&amp;IF(R19="","shared benefit, ","")&amp;IF(AND(R19="Yes",S19=""),"which line, ","")&amp;IF(T19="","Benefit Owner, ","")</f>
        <v>problem, what we count, times per year, source of times, cost each time, source of cost, share removed, how sure, bottom line, shared benefit, Benefit Owner, </v>
      </c>
      <c r="AD19" s="0" t="str">
        <f aca="true">IF(OR(B19="",C19=""),"",IFERROR(MATCH(B19,Library!$D$5:$D$169,0)+MATCH(C19,OFFSET(Library!$E$5,MATCH(B19,Library!$D$5:$D$169,0)-1,0,COUNTIF(Library!$D$5:$D$169,B19),1),0)-1,""))</f>
        <v/>
      </c>
      <c r="AE19" s="0" t="str">
        <f aca="false">IF(C19="","",IF(O19=1,"Is removing 100% of the problem realistic? · ","")&amp;IF(AND(P19="Gut feeling",ISNUMBER(V19)),IF(V19=MAX($V$6:$V$30),"Your biggest line rests on a gut feeling — can you measure it? · ","A gut feeling — what would it take to measure it? · "),"")&amp;IF(AND(P19="Qualified estimate",ISNUMBER(V19)),IF(V19=MAX($V$6:$V$30),"Your biggest line is an estimate — can you count it in your systems? · ",""),"")&amp;IF(Q19="No","How does the time saved turn into money? · ","")&amp;IF(AND(ISNUMBER(U19),N(U19)&gt;5000),"Check the cost: is it really per occurrence? · ","")&amp;IF(AND(ISNUMBER(I19),N(I19)&gt;100000),"Check the count: is it really per year? · ","")&amp;IF(R19="Yes","Merge or remove the overlap before the CFO sees it. · ",""))</f>
        <v/>
      </c>
      <c r="AF19" s="0" t="str">
        <f aca="false">IF(ISNUMBER(X19),X19+ROW()/1000000,"")</f>
        <v/>
      </c>
    </row>
    <row r="20" customFormat="false" ht="48" hidden="false" customHeight="true" outlineLevel="0" collapsed="false">
      <c r="A20" s="103" t="s">
        <v>215</v>
      </c>
      <c r="B20" s="69"/>
      <c r="C20" s="69"/>
      <c r="D20" s="104" t="str">
        <f aca="false">IF(AD20="","",INDEX(Library!$F$5:$F$169,AD20))</f>
        <v/>
      </c>
      <c r="E20" s="104" t="str">
        <f aca="false">IF(AD20="","",TRIM(IF(INDEX(Library!$G$5:$G$169,AD20)="Yes","SEE ","")&amp;IF(INDEX(Library!$H$5:$H$169,AD20)="Yes","STEER ","")&amp;IF(INDEX(Library!$I$5:$I$169,AD20)="Yes","KEEP","")))</f>
        <v/>
      </c>
      <c r="F20" s="105" t="str">
        <f aca="false">IF(AD20="","",INDEX(Library!$J$5:$J$169,AD20)&amp;IF(INDEX(Library!$K$5:$K$169,AD20)="","",CHAR(10)&amp;"Count: "&amp;INDEX(Library!$K$5:$K$169,AD20)))</f>
        <v/>
      </c>
      <c r="G20" s="69"/>
      <c r="H20" s="69"/>
      <c r="I20" s="106"/>
      <c r="J20" s="69"/>
      <c r="K20" s="106"/>
      <c r="L20" s="106"/>
      <c r="M20" s="106"/>
      <c r="N20" s="69"/>
      <c r="O20" s="107"/>
      <c r="P20" s="69"/>
      <c r="Q20" s="69"/>
      <c r="R20" s="69"/>
      <c r="S20" s="69"/>
      <c r="T20" s="69"/>
      <c r="U20" s="108" t="str">
        <f aca="false">IF(K20&lt;&gt;"",K20,IF(AND(L20&lt;&gt;"",M20&lt;&gt;""),L20/60*M20,""))</f>
        <v/>
      </c>
      <c r="V20" s="109" t="str">
        <f aca="false">IF(OR(I20="",U20="",O20=""),"",I20*U20*O20)</f>
        <v/>
      </c>
      <c r="W20" s="110" t="str">
        <f aca="false">IF(P20="","",IFERROR(INDEX('CFO Appendix'!$B$6:$B$8,MATCH(P20,'CFO Appendix'!$A$6:$A$8,0)),""))</f>
        <v/>
      </c>
      <c r="X20" s="109" t="str">
        <f aca="false">IF(OR(V20="",W20=""),"",V20*W20)</f>
        <v/>
      </c>
      <c r="Y20" s="111" t="str">
        <f aca="false">IF(AND(B20="",C20=""),"",IF(C20="","Choose a capability",IF(AD20="","Capability not in this domain",IF(COUNTIFS($B$6:$B$30,B20,$C$6:$C$30,C20)&gt;1,"Chosen twice",IF(AC20="","Complete","Missing: "&amp;LEFT(AC20,LEN(AC20)-2))))))</f>
        <v/>
      </c>
      <c r="Z20" s="112" t="str">
        <f aca="false">IF(V20="","",IF(AND(P20="Measured in our systems",Q20="Yes"),"A",IF(P20="Gut feeling","C","B")))</f>
        <v/>
      </c>
      <c r="AA20" s="111" t="str">
        <f aca="false">IF(Y20&lt;&gt;"Complete","","We remove "&amp;FIXED(O20*100,0)&amp;"% of "&amp;FIXED(I20,0)&amp;" "&amp;H20&amp;" a year — worth €"&amp;FIXED(V20,0)&amp;" a year. The number is "&amp;IF(P20="Measured in our systems","measured",IF(P20="Qualified estimate","a qualified estimate","a gut feeling"))&amp;" ("&amp;J20&amp;"). Owner: "&amp;T20&amp;".")</f>
        <v/>
      </c>
      <c r="AB20" s="113" t="str">
        <f aca="false">IF(C20="","",IF(AE20="",IF(Z20="A","Solid — measured and on the bottom line. Be ready to show the source.","Be ready to show where the numbers come from."),LEFT(AE20,LEN(AE20)-3)))</f>
        <v/>
      </c>
      <c r="AC20" s="0" t="str">
        <f aca="false">IF(G20="","problem, ","")&amp;IF(H20="","what we count, ","")&amp;IF(I20="","times per year, ","")&amp;IF(J20="","source of times, ","")&amp;IF(U20="","cost each time, ","")&amp;IF(N20="","source of cost, ","")&amp;IF(O20="","share removed, ","")&amp;IF(P20="","how sure, ","")&amp;IF(Q20="","bottom line, ","")&amp;IF(R20="","shared benefit, ","")&amp;IF(AND(R20="Yes",S20=""),"which line, ","")&amp;IF(T20="","Benefit Owner, ","")</f>
        <v>problem, what we count, times per year, source of times, cost each time, source of cost, share removed, how sure, bottom line, shared benefit, Benefit Owner, </v>
      </c>
      <c r="AD20" s="0" t="str">
        <f aca="true">IF(OR(B20="",C20=""),"",IFERROR(MATCH(B20,Library!$D$5:$D$169,0)+MATCH(C20,OFFSET(Library!$E$5,MATCH(B20,Library!$D$5:$D$169,0)-1,0,COUNTIF(Library!$D$5:$D$169,B20),1),0)-1,""))</f>
        <v/>
      </c>
      <c r="AE20" s="0" t="str">
        <f aca="false">IF(C20="","",IF(O20=1,"Is removing 100% of the problem realistic? · ","")&amp;IF(AND(P20="Gut feeling",ISNUMBER(V20)),IF(V20=MAX($V$6:$V$30),"Your biggest line rests on a gut feeling — can you measure it? · ","A gut feeling — what would it take to measure it? · "),"")&amp;IF(AND(P20="Qualified estimate",ISNUMBER(V20)),IF(V20=MAX($V$6:$V$30),"Your biggest line is an estimate — can you count it in your systems? · ",""),"")&amp;IF(Q20="No","How does the time saved turn into money? · ","")&amp;IF(AND(ISNUMBER(U20),N(U20)&gt;5000),"Check the cost: is it really per occurrence? · ","")&amp;IF(AND(ISNUMBER(I20),N(I20)&gt;100000),"Check the count: is it really per year? · ","")&amp;IF(R20="Yes","Merge or remove the overlap before the CFO sees it. · ",""))</f>
        <v/>
      </c>
      <c r="AF20" s="0" t="str">
        <f aca="false">IF(ISNUMBER(X20),X20+ROW()/1000000,"")</f>
        <v/>
      </c>
    </row>
    <row r="21" customFormat="false" ht="48" hidden="false" customHeight="true" outlineLevel="0" collapsed="false">
      <c r="A21" s="103" t="s">
        <v>216</v>
      </c>
      <c r="B21" s="69"/>
      <c r="C21" s="69"/>
      <c r="D21" s="104" t="str">
        <f aca="false">IF(AD21="","",INDEX(Library!$F$5:$F$169,AD21))</f>
        <v/>
      </c>
      <c r="E21" s="104" t="str">
        <f aca="false">IF(AD21="","",TRIM(IF(INDEX(Library!$G$5:$G$169,AD21)="Yes","SEE ","")&amp;IF(INDEX(Library!$H$5:$H$169,AD21)="Yes","STEER ","")&amp;IF(INDEX(Library!$I$5:$I$169,AD21)="Yes","KEEP","")))</f>
        <v/>
      </c>
      <c r="F21" s="105" t="str">
        <f aca="false">IF(AD21="","",INDEX(Library!$J$5:$J$169,AD21)&amp;IF(INDEX(Library!$K$5:$K$169,AD21)="","",CHAR(10)&amp;"Count: "&amp;INDEX(Library!$K$5:$K$169,AD21)))</f>
        <v/>
      </c>
      <c r="G21" s="69"/>
      <c r="H21" s="69"/>
      <c r="I21" s="106"/>
      <c r="J21" s="69"/>
      <c r="K21" s="106"/>
      <c r="L21" s="106"/>
      <c r="M21" s="106"/>
      <c r="N21" s="69"/>
      <c r="O21" s="107"/>
      <c r="P21" s="69"/>
      <c r="Q21" s="69"/>
      <c r="R21" s="69"/>
      <c r="S21" s="69"/>
      <c r="T21" s="69"/>
      <c r="U21" s="108" t="str">
        <f aca="false">IF(K21&lt;&gt;"",K21,IF(AND(L21&lt;&gt;"",M21&lt;&gt;""),L21/60*M21,""))</f>
        <v/>
      </c>
      <c r="V21" s="109" t="str">
        <f aca="false">IF(OR(I21="",U21="",O21=""),"",I21*U21*O21)</f>
        <v/>
      </c>
      <c r="W21" s="110" t="str">
        <f aca="false">IF(P21="","",IFERROR(INDEX('CFO Appendix'!$B$6:$B$8,MATCH(P21,'CFO Appendix'!$A$6:$A$8,0)),""))</f>
        <v/>
      </c>
      <c r="X21" s="109" t="str">
        <f aca="false">IF(OR(V21="",W21=""),"",V21*W21)</f>
        <v/>
      </c>
      <c r="Y21" s="111" t="str">
        <f aca="false">IF(AND(B21="",C21=""),"",IF(C21="","Choose a capability",IF(AD21="","Capability not in this domain",IF(COUNTIFS($B$6:$B$30,B21,$C$6:$C$30,C21)&gt;1,"Chosen twice",IF(AC21="","Complete","Missing: "&amp;LEFT(AC21,LEN(AC21)-2))))))</f>
        <v/>
      </c>
      <c r="Z21" s="112" t="str">
        <f aca="false">IF(V21="","",IF(AND(P21="Measured in our systems",Q21="Yes"),"A",IF(P21="Gut feeling","C","B")))</f>
        <v/>
      </c>
      <c r="AA21" s="111" t="str">
        <f aca="false">IF(Y21&lt;&gt;"Complete","","We remove "&amp;FIXED(O21*100,0)&amp;"% of "&amp;FIXED(I21,0)&amp;" "&amp;H21&amp;" a year — worth €"&amp;FIXED(V21,0)&amp;" a year. The number is "&amp;IF(P21="Measured in our systems","measured",IF(P21="Qualified estimate","a qualified estimate","a gut feeling"))&amp;" ("&amp;J21&amp;"). Owner: "&amp;T21&amp;".")</f>
        <v/>
      </c>
      <c r="AB21" s="113" t="str">
        <f aca="false">IF(C21="","",IF(AE21="",IF(Z21="A","Solid — measured and on the bottom line. Be ready to show the source.","Be ready to show where the numbers come from."),LEFT(AE21,LEN(AE21)-3)))</f>
        <v/>
      </c>
      <c r="AC21" s="0" t="str">
        <f aca="false">IF(G21="","problem, ","")&amp;IF(H21="","what we count, ","")&amp;IF(I21="","times per year, ","")&amp;IF(J21="","source of times, ","")&amp;IF(U21="","cost each time, ","")&amp;IF(N21="","source of cost, ","")&amp;IF(O21="","share removed, ","")&amp;IF(P21="","how sure, ","")&amp;IF(Q21="","bottom line, ","")&amp;IF(R21="","shared benefit, ","")&amp;IF(AND(R21="Yes",S21=""),"which line, ","")&amp;IF(T21="","Benefit Owner, ","")</f>
        <v>problem, what we count, times per year, source of times, cost each time, source of cost, share removed, how sure, bottom line, shared benefit, Benefit Owner, </v>
      </c>
      <c r="AD21" s="0" t="str">
        <f aca="true">IF(OR(B21="",C21=""),"",IFERROR(MATCH(B21,Library!$D$5:$D$169,0)+MATCH(C21,OFFSET(Library!$E$5,MATCH(B21,Library!$D$5:$D$169,0)-1,0,COUNTIF(Library!$D$5:$D$169,B21),1),0)-1,""))</f>
        <v/>
      </c>
      <c r="AE21" s="0" t="str">
        <f aca="false">IF(C21="","",IF(O21=1,"Is removing 100% of the problem realistic? · ","")&amp;IF(AND(P21="Gut feeling",ISNUMBER(V21)),IF(V21=MAX($V$6:$V$30),"Your biggest line rests on a gut feeling — can you measure it? · ","A gut feeling — what would it take to measure it? · "),"")&amp;IF(AND(P21="Qualified estimate",ISNUMBER(V21)),IF(V21=MAX($V$6:$V$30),"Your biggest line is an estimate — can you count it in your systems? · ",""),"")&amp;IF(Q21="No","How does the time saved turn into money? · ","")&amp;IF(AND(ISNUMBER(U21),N(U21)&gt;5000),"Check the cost: is it really per occurrence? · ","")&amp;IF(AND(ISNUMBER(I21),N(I21)&gt;100000),"Check the count: is it really per year? · ","")&amp;IF(R21="Yes","Merge or remove the overlap before the CFO sees it. · ",""))</f>
        <v/>
      </c>
      <c r="AF21" s="0" t="str">
        <f aca="false">IF(ISNUMBER(X21),X21+ROW()/1000000,"")</f>
        <v/>
      </c>
    </row>
    <row r="22" customFormat="false" ht="48" hidden="false" customHeight="true" outlineLevel="0" collapsed="false">
      <c r="A22" s="103" t="s">
        <v>217</v>
      </c>
      <c r="B22" s="69"/>
      <c r="C22" s="69"/>
      <c r="D22" s="104" t="str">
        <f aca="false">IF(AD22="","",INDEX(Library!$F$5:$F$169,AD22))</f>
        <v/>
      </c>
      <c r="E22" s="104" t="str">
        <f aca="false">IF(AD22="","",TRIM(IF(INDEX(Library!$G$5:$G$169,AD22)="Yes","SEE ","")&amp;IF(INDEX(Library!$H$5:$H$169,AD22)="Yes","STEER ","")&amp;IF(INDEX(Library!$I$5:$I$169,AD22)="Yes","KEEP","")))</f>
        <v/>
      </c>
      <c r="F22" s="105" t="str">
        <f aca="false">IF(AD22="","",INDEX(Library!$J$5:$J$169,AD22)&amp;IF(INDEX(Library!$K$5:$K$169,AD22)="","",CHAR(10)&amp;"Count: "&amp;INDEX(Library!$K$5:$K$169,AD22)))</f>
        <v/>
      </c>
      <c r="G22" s="69"/>
      <c r="H22" s="69"/>
      <c r="I22" s="106"/>
      <c r="J22" s="69"/>
      <c r="K22" s="106"/>
      <c r="L22" s="106"/>
      <c r="M22" s="106"/>
      <c r="N22" s="69"/>
      <c r="O22" s="107"/>
      <c r="P22" s="69"/>
      <c r="Q22" s="69"/>
      <c r="R22" s="69"/>
      <c r="S22" s="69"/>
      <c r="T22" s="69"/>
      <c r="U22" s="108" t="str">
        <f aca="false">IF(K22&lt;&gt;"",K22,IF(AND(L22&lt;&gt;"",M22&lt;&gt;""),L22/60*M22,""))</f>
        <v/>
      </c>
      <c r="V22" s="109" t="str">
        <f aca="false">IF(OR(I22="",U22="",O22=""),"",I22*U22*O22)</f>
        <v/>
      </c>
      <c r="W22" s="110" t="str">
        <f aca="false">IF(P22="","",IFERROR(INDEX('CFO Appendix'!$B$6:$B$8,MATCH(P22,'CFO Appendix'!$A$6:$A$8,0)),""))</f>
        <v/>
      </c>
      <c r="X22" s="109" t="str">
        <f aca="false">IF(OR(V22="",W22=""),"",V22*W22)</f>
        <v/>
      </c>
      <c r="Y22" s="111" t="str">
        <f aca="false">IF(AND(B22="",C22=""),"",IF(C22="","Choose a capability",IF(AD22="","Capability not in this domain",IF(COUNTIFS($B$6:$B$30,B22,$C$6:$C$30,C22)&gt;1,"Chosen twice",IF(AC22="","Complete","Missing: "&amp;LEFT(AC22,LEN(AC22)-2))))))</f>
        <v/>
      </c>
      <c r="Z22" s="112" t="str">
        <f aca="false">IF(V22="","",IF(AND(P22="Measured in our systems",Q22="Yes"),"A",IF(P22="Gut feeling","C","B")))</f>
        <v/>
      </c>
      <c r="AA22" s="111" t="str">
        <f aca="false">IF(Y22&lt;&gt;"Complete","","We remove "&amp;FIXED(O22*100,0)&amp;"% of "&amp;FIXED(I22,0)&amp;" "&amp;H22&amp;" a year — worth €"&amp;FIXED(V22,0)&amp;" a year. The number is "&amp;IF(P22="Measured in our systems","measured",IF(P22="Qualified estimate","a qualified estimate","a gut feeling"))&amp;" ("&amp;J22&amp;"). Owner: "&amp;T22&amp;".")</f>
        <v/>
      </c>
      <c r="AB22" s="113" t="str">
        <f aca="false">IF(C22="","",IF(AE22="",IF(Z22="A","Solid — measured and on the bottom line. Be ready to show the source.","Be ready to show where the numbers come from."),LEFT(AE22,LEN(AE22)-3)))</f>
        <v/>
      </c>
      <c r="AC22" s="0" t="str">
        <f aca="false">IF(G22="","problem, ","")&amp;IF(H22="","what we count, ","")&amp;IF(I22="","times per year, ","")&amp;IF(J22="","source of times, ","")&amp;IF(U22="","cost each time, ","")&amp;IF(N22="","source of cost, ","")&amp;IF(O22="","share removed, ","")&amp;IF(P22="","how sure, ","")&amp;IF(Q22="","bottom line, ","")&amp;IF(R22="","shared benefit, ","")&amp;IF(AND(R22="Yes",S22=""),"which line, ","")&amp;IF(T22="","Benefit Owner, ","")</f>
        <v>problem, what we count, times per year, source of times, cost each time, source of cost, share removed, how sure, bottom line, shared benefit, Benefit Owner, </v>
      </c>
      <c r="AD22" s="0" t="str">
        <f aca="true">IF(OR(B22="",C22=""),"",IFERROR(MATCH(B22,Library!$D$5:$D$169,0)+MATCH(C22,OFFSET(Library!$E$5,MATCH(B22,Library!$D$5:$D$169,0)-1,0,COUNTIF(Library!$D$5:$D$169,B22),1),0)-1,""))</f>
        <v/>
      </c>
      <c r="AE22" s="0" t="str">
        <f aca="false">IF(C22="","",IF(O22=1,"Is removing 100% of the problem realistic? · ","")&amp;IF(AND(P22="Gut feeling",ISNUMBER(V22)),IF(V22=MAX($V$6:$V$30),"Your biggest line rests on a gut feeling — can you measure it? · ","A gut feeling — what would it take to measure it? · "),"")&amp;IF(AND(P22="Qualified estimate",ISNUMBER(V22)),IF(V22=MAX($V$6:$V$30),"Your biggest line is an estimate — can you count it in your systems? · ",""),"")&amp;IF(Q22="No","How does the time saved turn into money? · ","")&amp;IF(AND(ISNUMBER(U22),N(U22)&gt;5000),"Check the cost: is it really per occurrence? · ","")&amp;IF(AND(ISNUMBER(I22),N(I22)&gt;100000),"Check the count: is it really per year? · ","")&amp;IF(R22="Yes","Merge or remove the overlap before the CFO sees it. · ",""))</f>
        <v/>
      </c>
      <c r="AF22" s="0" t="str">
        <f aca="false">IF(ISNUMBER(X22),X22+ROW()/1000000,"")</f>
        <v/>
      </c>
    </row>
    <row r="23" customFormat="false" ht="48" hidden="false" customHeight="true" outlineLevel="0" collapsed="false">
      <c r="A23" s="103" t="s">
        <v>218</v>
      </c>
      <c r="B23" s="69"/>
      <c r="C23" s="69"/>
      <c r="D23" s="104" t="str">
        <f aca="false">IF(AD23="","",INDEX(Library!$F$5:$F$169,AD23))</f>
        <v/>
      </c>
      <c r="E23" s="104" t="str">
        <f aca="false">IF(AD23="","",TRIM(IF(INDEX(Library!$G$5:$G$169,AD23)="Yes","SEE ","")&amp;IF(INDEX(Library!$H$5:$H$169,AD23)="Yes","STEER ","")&amp;IF(INDEX(Library!$I$5:$I$169,AD23)="Yes","KEEP","")))</f>
        <v/>
      </c>
      <c r="F23" s="105" t="str">
        <f aca="false">IF(AD23="","",INDEX(Library!$J$5:$J$169,AD23)&amp;IF(INDEX(Library!$K$5:$K$169,AD23)="","",CHAR(10)&amp;"Count: "&amp;INDEX(Library!$K$5:$K$169,AD23)))</f>
        <v/>
      </c>
      <c r="G23" s="69"/>
      <c r="H23" s="69"/>
      <c r="I23" s="106"/>
      <c r="J23" s="69"/>
      <c r="K23" s="106"/>
      <c r="L23" s="106"/>
      <c r="M23" s="106"/>
      <c r="N23" s="69"/>
      <c r="O23" s="107"/>
      <c r="P23" s="69"/>
      <c r="Q23" s="69"/>
      <c r="R23" s="69"/>
      <c r="S23" s="69"/>
      <c r="T23" s="69"/>
      <c r="U23" s="108" t="str">
        <f aca="false">IF(K23&lt;&gt;"",K23,IF(AND(L23&lt;&gt;"",M23&lt;&gt;""),L23/60*M23,""))</f>
        <v/>
      </c>
      <c r="V23" s="109" t="str">
        <f aca="false">IF(OR(I23="",U23="",O23=""),"",I23*U23*O23)</f>
        <v/>
      </c>
      <c r="W23" s="110" t="str">
        <f aca="false">IF(P23="","",IFERROR(INDEX('CFO Appendix'!$B$6:$B$8,MATCH(P23,'CFO Appendix'!$A$6:$A$8,0)),""))</f>
        <v/>
      </c>
      <c r="X23" s="109" t="str">
        <f aca="false">IF(OR(V23="",W23=""),"",V23*W23)</f>
        <v/>
      </c>
      <c r="Y23" s="111" t="str">
        <f aca="false">IF(AND(B23="",C23=""),"",IF(C23="","Choose a capability",IF(AD23="","Capability not in this domain",IF(COUNTIFS($B$6:$B$30,B23,$C$6:$C$30,C23)&gt;1,"Chosen twice",IF(AC23="","Complete","Missing: "&amp;LEFT(AC23,LEN(AC23)-2))))))</f>
        <v/>
      </c>
      <c r="Z23" s="112" t="str">
        <f aca="false">IF(V23="","",IF(AND(P23="Measured in our systems",Q23="Yes"),"A",IF(P23="Gut feeling","C","B")))</f>
        <v/>
      </c>
      <c r="AA23" s="111" t="str">
        <f aca="false">IF(Y23&lt;&gt;"Complete","","We remove "&amp;FIXED(O23*100,0)&amp;"% of "&amp;FIXED(I23,0)&amp;" "&amp;H23&amp;" a year — worth €"&amp;FIXED(V23,0)&amp;" a year. The number is "&amp;IF(P23="Measured in our systems","measured",IF(P23="Qualified estimate","a qualified estimate","a gut feeling"))&amp;" ("&amp;J23&amp;"). Owner: "&amp;T23&amp;".")</f>
        <v/>
      </c>
      <c r="AB23" s="113" t="str">
        <f aca="false">IF(C23="","",IF(AE23="",IF(Z23="A","Solid — measured and on the bottom line. Be ready to show the source.","Be ready to show where the numbers come from."),LEFT(AE23,LEN(AE23)-3)))</f>
        <v/>
      </c>
      <c r="AC23" s="0" t="str">
        <f aca="false">IF(G23="","problem, ","")&amp;IF(H23="","what we count, ","")&amp;IF(I23="","times per year, ","")&amp;IF(J23="","source of times, ","")&amp;IF(U23="","cost each time, ","")&amp;IF(N23="","source of cost, ","")&amp;IF(O23="","share removed, ","")&amp;IF(P23="","how sure, ","")&amp;IF(Q23="","bottom line, ","")&amp;IF(R23="","shared benefit, ","")&amp;IF(AND(R23="Yes",S23=""),"which line, ","")&amp;IF(T23="","Benefit Owner, ","")</f>
        <v>problem, what we count, times per year, source of times, cost each time, source of cost, share removed, how sure, bottom line, shared benefit, Benefit Owner, </v>
      </c>
      <c r="AD23" s="0" t="str">
        <f aca="true">IF(OR(B23="",C23=""),"",IFERROR(MATCH(B23,Library!$D$5:$D$169,0)+MATCH(C23,OFFSET(Library!$E$5,MATCH(B23,Library!$D$5:$D$169,0)-1,0,COUNTIF(Library!$D$5:$D$169,B23),1),0)-1,""))</f>
        <v/>
      </c>
      <c r="AE23" s="0" t="str">
        <f aca="false">IF(C23="","",IF(O23=1,"Is removing 100% of the problem realistic? · ","")&amp;IF(AND(P23="Gut feeling",ISNUMBER(V23)),IF(V23=MAX($V$6:$V$30),"Your biggest line rests on a gut feeling — can you measure it? · ","A gut feeling — what would it take to measure it? · "),"")&amp;IF(AND(P23="Qualified estimate",ISNUMBER(V23)),IF(V23=MAX($V$6:$V$30),"Your biggest line is an estimate — can you count it in your systems? · ",""),"")&amp;IF(Q23="No","How does the time saved turn into money? · ","")&amp;IF(AND(ISNUMBER(U23),N(U23)&gt;5000),"Check the cost: is it really per occurrence? · ","")&amp;IF(AND(ISNUMBER(I23),N(I23)&gt;100000),"Check the count: is it really per year? · ","")&amp;IF(R23="Yes","Merge or remove the overlap before the CFO sees it. · ",""))</f>
        <v/>
      </c>
      <c r="AF23" s="0" t="str">
        <f aca="false">IF(ISNUMBER(X23),X23+ROW()/1000000,"")</f>
        <v/>
      </c>
    </row>
    <row r="24" customFormat="false" ht="48" hidden="false" customHeight="true" outlineLevel="0" collapsed="false">
      <c r="A24" s="103" t="s">
        <v>219</v>
      </c>
      <c r="B24" s="69"/>
      <c r="C24" s="69"/>
      <c r="D24" s="104" t="str">
        <f aca="false">IF(AD24="","",INDEX(Library!$F$5:$F$169,AD24))</f>
        <v/>
      </c>
      <c r="E24" s="104" t="str">
        <f aca="false">IF(AD24="","",TRIM(IF(INDEX(Library!$G$5:$G$169,AD24)="Yes","SEE ","")&amp;IF(INDEX(Library!$H$5:$H$169,AD24)="Yes","STEER ","")&amp;IF(INDEX(Library!$I$5:$I$169,AD24)="Yes","KEEP","")))</f>
        <v/>
      </c>
      <c r="F24" s="105" t="str">
        <f aca="false">IF(AD24="","",INDEX(Library!$J$5:$J$169,AD24)&amp;IF(INDEX(Library!$K$5:$K$169,AD24)="","",CHAR(10)&amp;"Count: "&amp;INDEX(Library!$K$5:$K$169,AD24)))</f>
        <v/>
      </c>
      <c r="G24" s="69"/>
      <c r="H24" s="69"/>
      <c r="I24" s="106"/>
      <c r="J24" s="69"/>
      <c r="K24" s="106"/>
      <c r="L24" s="106"/>
      <c r="M24" s="106"/>
      <c r="N24" s="69"/>
      <c r="O24" s="107"/>
      <c r="P24" s="69"/>
      <c r="Q24" s="69"/>
      <c r="R24" s="69"/>
      <c r="S24" s="69"/>
      <c r="T24" s="69"/>
      <c r="U24" s="108" t="str">
        <f aca="false">IF(K24&lt;&gt;"",K24,IF(AND(L24&lt;&gt;"",M24&lt;&gt;""),L24/60*M24,""))</f>
        <v/>
      </c>
      <c r="V24" s="109" t="str">
        <f aca="false">IF(OR(I24="",U24="",O24=""),"",I24*U24*O24)</f>
        <v/>
      </c>
      <c r="W24" s="110" t="str">
        <f aca="false">IF(P24="","",IFERROR(INDEX('CFO Appendix'!$B$6:$B$8,MATCH(P24,'CFO Appendix'!$A$6:$A$8,0)),""))</f>
        <v/>
      </c>
      <c r="X24" s="109" t="str">
        <f aca="false">IF(OR(V24="",W24=""),"",V24*W24)</f>
        <v/>
      </c>
      <c r="Y24" s="111" t="str">
        <f aca="false">IF(AND(B24="",C24=""),"",IF(C24="","Choose a capability",IF(AD24="","Capability not in this domain",IF(COUNTIFS($B$6:$B$30,B24,$C$6:$C$30,C24)&gt;1,"Chosen twice",IF(AC24="","Complete","Missing: "&amp;LEFT(AC24,LEN(AC24)-2))))))</f>
        <v/>
      </c>
      <c r="Z24" s="112" t="str">
        <f aca="false">IF(V24="","",IF(AND(P24="Measured in our systems",Q24="Yes"),"A",IF(P24="Gut feeling","C","B")))</f>
        <v/>
      </c>
      <c r="AA24" s="111" t="str">
        <f aca="false">IF(Y24&lt;&gt;"Complete","","We remove "&amp;FIXED(O24*100,0)&amp;"% of "&amp;FIXED(I24,0)&amp;" "&amp;H24&amp;" a year — worth €"&amp;FIXED(V24,0)&amp;" a year. The number is "&amp;IF(P24="Measured in our systems","measured",IF(P24="Qualified estimate","a qualified estimate","a gut feeling"))&amp;" ("&amp;J24&amp;"). Owner: "&amp;T24&amp;".")</f>
        <v/>
      </c>
      <c r="AB24" s="113" t="str">
        <f aca="false">IF(C24="","",IF(AE24="",IF(Z24="A","Solid — measured and on the bottom line. Be ready to show the source.","Be ready to show where the numbers come from."),LEFT(AE24,LEN(AE24)-3)))</f>
        <v/>
      </c>
      <c r="AC24" s="0" t="str">
        <f aca="false">IF(G24="","problem, ","")&amp;IF(H24="","what we count, ","")&amp;IF(I24="","times per year, ","")&amp;IF(J24="","source of times, ","")&amp;IF(U24="","cost each time, ","")&amp;IF(N24="","source of cost, ","")&amp;IF(O24="","share removed, ","")&amp;IF(P24="","how sure, ","")&amp;IF(Q24="","bottom line, ","")&amp;IF(R24="","shared benefit, ","")&amp;IF(AND(R24="Yes",S24=""),"which line, ","")&amp;IF(T24="","Benefit Owner, ","")</f>
        <v>problem, what we count, times per year, source of times, cost each time, source of cost, share removed, how sure, bottom line, shared benefit, Benefit Owner, </v>
      </c>
      <c r="AD24" s="0" t="str">
        <f aca="true">IF(OR(B24="",C24=""),"",IFERROR(MATCH(B24,Library!$D$5:$D$169,0)+MATCH(C24,OFFSET(Library!$E$5,MATCH(B24,Library!$D$5:$D$169,0)-1,0,COUNTIF(Library!$D$5:$D$169,B24),1),0)-1,""))</f>
        <v/>
      </c>
      <c r="AE24" s="0" t="str">
        <f aca="false">IF(C24="","",IF(O24=1,"Is removing 100% of the problem realistic? · ","")&amp;IF(AND(P24="Gut feeling",ISNUMBER(V24)),IF(V24=MAX($V$6:$V$30),"Your biggest line rests on a gut feeling — can you measure it? · ","A gut feeling — what would it take to measure it? · "),"")&amp;IF(AND(P24="Qualified estimate",ISNUMBER(V24)),IF(V24=MAX($V$6:$V$30),"Your biggest line is an estimate — can you count it in your systems? · ",""),"")&amp;IF(Q24="No","How does the time saved turn into money? · ","")&amp;IF(AND(ISNUMBER(U24),N(U24)&gt;5000),"Check the cost: is it really per occurrence? · ","")&amp;IF(AND(ISNUMBER(I24),N(I24)&gt;100000),"Check the count: is it really per year? · ","")&amp;IF(R24="Yes","Merge or remove the overlap before the CFO sees it. · ",""))</f>
        <v/>
      </c>
      <c r="AF24" s="0" t="str">
        <f aca="false">IF(ISNUMBER(X24),X24+ROW()/1000000,"")</f>
        <v/>
      </c>
    </row>
    <row r="25" customFormat="false" ht="48" hidden="false" customHeight="true" outlineLevel="0" collapsed="false">
      <c r="A25" s="103" t="s">
        <v>220</v>
      </c>
      <c r="B25" s="69"/>
      <c r="C25" s="69"/>
      <c r="D25" s="104" t="str">
        <f aca="false">IF(AD25="","",INDEX(Library!$F$5:$F$169,AD25))</f>
        <v/>
      </c>
      <c r="E25" s="104" t="str">
        <f aca="false">IF(AD25="","",TRIM(IF(INDEX(Library!$G$5:$G$169,AD25)="Yes","SEE ","")&amp;IF(INDEX(Library!$H$5:$H$169,AD25)="Yes","STEER ","")&amp;IF(INDEX(Library!$I$5:$I$169,AD25)="Yes","KEEP","")))</f>
        <v/>
      </c>
      <c r="F25" s="105" t="str">
        <f aca="false">IF(AD25="","",INDEX(Library!$J$5:$J$169,AD25)&amp;IF(INDEX(Library!$K$5:$K$169,AD25)="","",CHAR(10)&amp;"Count: "&amp;INDEX(Library!$K$5:$K$169,AD25)))</f>
        <v/>
      </c>
      <c r="G25" s="69"/>
      <c r="H25" s="69"/>
      <c r="I25" s="106"/>
      <c r="J25" s="69"/>
      <c r="K25" s="106"/>
      <c r="L25" s="106"/>
      <c r="M25" s="106"/>
      <c r="N25" s="69"/>
      <c r="O25" s="107"/>
      <c r="P25" s="69"/>
      <c r="Q25" s="69"/>
      <c r="R25" s="69"/>
      <c r="S25" s="69"/>
      <c r="T25" s="69"/>
      <c r="U25" s="108" t="str">
        <f aca="false">IF(K25&lt;&gt;"",K25,IF(AND(L25&lt;&gt;"",M25&lt;&gt;""),L25/60*M25,""))</f>
        <v/>
      </c>
      <c r="V25" s="109" t="str">
        <f aca="false">IF(OR(I25="",U25="",O25=""),"",I25*U25*O25)</f>
        <v/>
      </c>
      <c r="W25" s="110" t="str">
        <f aca="false">IF(P25="","",IFERROR(INDEX('CFO Appendix'!$B$6:$B$8,MATCH(P25,'CFO Appendix'!$A$6:$A$8,0)),""))</f>
        <v/>
      </c>
      <c r="X25" s="109" t="str">
        <f aca="false">IF(OR(V25="",W25=""),"",V25*W25)</f>
        <v/>
      </c>
      <c r="Y25" s="111" t="str">
        <f aca="false">IF(AND(B25="",C25=""),"",IF(C25="","Choose a capability",IF(AD25="","Capability not in this domain",IF(COUNTIFS($B$6:$B$30,B25,$C$6:$C$30,C25)&gt;1,"Chosen twice",IF(AC25="","Complete","Missing: "&amp;LEFT(AC25,LEN(AC25)-2))))))</f>
        <v/>
      </c>
      <c r="Z25" s="112" t="str">
        <f aca="false">IF(V25="","",IF(AND(P25="Measured in our systems",Q25="Yes"),"A",IF(P25="Gut feeling","C","B")))</f>
        <v/>
      </c>
      <c r="AA25" s="111" t="str">
        <f aca="false">IF(Y25&lt;&gt;"Complete","","We remove "&amp;FIXED(O25*100,0)&amp;"% of "&amp;FIXED(I25,0)&amp;" "&amp;H25&amp;" a year — worth €"&amp;FIXED(V25,0)&amp;" a year. The number is "&amp;IF(P25="Measured in our systems","measured",IF(P25="Qualified estimate","a qualified estimate","a gut feeling"))&amp;" ("&amp;J25&amp;"). Owner: "&amp;T25&amp;".")</f>
        <v/>
      </c>
      <c r="AB25" s="113" t="str">
        <f aca="false">IF(C25="","",IF(AE25="",IF(Z25="A","Solid — measured and on the bottom line. Be ready to show the source.","Be ready to show where the numbers come from."),LEFT(AE25,LEN(AE25)-3)))</f>
        <v/>
      </c>
      <c r="AC25" s="0" t="str">
        <f aca="false">IF(G25="","problem, ","")&amp;IF(H25="","what we count, ","")&amp;IF(I25="","times per year, ","")&amp;IF(J25="","source of times, ","")&amp;IF(U25="","cost each time, ","")&amp;IF(N25="","source of cost, ","")&amp;IF(O25="","share removed, ","")&amp;IF(P25="","how sure, ","")&amp;IF(Q25="","bottom line, ","")&amp;IF(R25="","shared benefit, ","")&amp;IF(AND(R25="Yes",S25=""),"which line, ","")&amp;IF(T25="","Benefit Owner, ","")</f>
        <v>problem, what we count, times per year, source of times, cost each time, source of cost, share removed, how sure, bottom line, shared benefit, Benefit Owner, </v>
      </c>
      <c r="AD25" s="0" t="str">
        <f aca="true">IF(OR(B25="",C25=""),"",IFERROR(MATCH(B25,Library!$D$5:$D$169,0)+MATCH(C25,OFFSET(Library!$E$5,MATCH(B25,Library!$D$5:$D$169,0)-1,0,COUNTIF(Library!$D$5:$D$169,B25),1),0)-1,""))</f>
        <v/>
      </c>
      <c r="AE25" s="0" t="str">
        <f aca="false">IF(C25="","",IF(O25=1,"Is removing 100% of the problem realistic? · ","")&amp;IF(AND(P25="Gut feeling",ISNUMBER(V25)),IF(V25=MAX($V$6:$V$30),"Your biggest line rests on a gut feeling — can you measure it? · ","A gut feeling — what would it take to measure it? · "),"")&amp;IF(AND(P25="Qualified estimate",ISNUMBER(V25)),IF(V25=MAX($V$6:$V$30),"Your biggest line is an estimate — can you count it in your systems? · ",""),"")&amp;IF(Q25="No","How does the time saved turn into money? · ","")&amp;IF(AND(ISNUMBER(U25),N(U25)&gt;5000),"Check the cost: is it really per occurrence? · ","")&amp;IF(AND(ISNUMBER(I25),N(I25)&gt;100000),"Check the count: is it really per year? · ","")&amp;IF(R25="Yes","Merge or remove the overlap before the CFO sees it. · ",""))</f>
        <v/>
      </c>
      <c r="AF25" s="0" t="str">
        <f aca="false">IF(ISNUMBER(X25),X25+ROW()/1000000,"")</f>
        <v/>
      </c>
    </row>
    <row r="26" customFormat="false" ht="48" hidden="false" customHeight="true" outlineLevel="0" collapsed="false">
      <c r="A26" s="103" t="s">
        <v>221</v>
      </c>
      <c r="B26" s="69"/>
      <c r="C26" s="69"/>
      <c r="D26" s="104" t="str">
        <f aca="false">IF(AD26="","",INDEX(Library!$F$5:$F$169,AD26))</f>
        <v/>
      </c>
      <c r="E26" s="104" t="str">
        <f aca="false">IF(AD26="","",TRIM(IF(INDEX(Library!$G$5:$G$169,AD26)="Yes","SEE ","")&amp;IF(INDEX(Library!$H$5:$H$169,AD26)="Yes","STEER ","")&amp;IF(INDEX(Library!$I$5:$I$169,AD26)="Yes","KEEP","")))</f>
        <v/>
      </c>
      <c r="F26" s="105" t="str">
        <f aca="false">IF(AD26="","",INDEX(Library!$J$5:$J$169,AD26)&amp;IF(INDEX(Library!$K$5:$K$169,AD26)="","",CHAR(10)&amp;"Count: "&amp;INDEX(Library!$K$5:$K$169,AD26)))</f>
        <v/>
      </c>
      <c r="G26" s="69"/>
      <c r="H26" s="69"/>
      <c r="I26" s="106"/>
      <c r="J26" s="69"/>
      <c r="K26" s="106"/>
      <c r="L26" s="106"/>
      <c r="M26" s="106"/>
      <c r="N26" s="69"/>
      <c r="O26" s="107"/>
      <c r="P26" s="69"/>
      <c r="Q26" s="69"/>
      <c r="R26" s="69"/>
      <c r="S26" s="69"/>
      <c r="T26" s="69"/>
      <c r="U26" s="108" t="str">
        <f aca="false">IF(K26&lt;&gt;"",K26,IF(AND(L26&lt;&gt;"",M26&lt;&gt;""),L26/60*M26,""))</f>
        <v/>
      </c>
      <c r="V26" s="109" t="str">
        <f aca="false">IF(OR(I26="",U26="",O26=""),"",I26*U26*O26)</f>
        <v/>
      </c>
      <c r="W26" s="110" t="str">
        <f aca="false">IF(P26="","",IFERROR(INDEX('CFO Appendix'!$B$6:$B$8,MATCH(P26,'CFO Appendix'!$A$6:$A$8,0)),""))</f>
        <v/>
      </c>
      <c r="X26" s="109" t="str">
        <f aca="false">IF(OR(V26="",W26=""),"",V26*W26)</f>
        <v/>
      </c>
      <c r="Y26" s="111" t="str">
        <f aca="false">IF(AND(B26="",C26=""),"",IF(C26="","Choose a capability",IF(AD26="","Capability not in this domain",IF(COUNTIFS($B$6:$B$30,B26,$C$6:$C$30,C26)&gt;1,"Chosen twice",IF(AC26="","Complete","Missing: "&amp;LEFT(AC26,LEN(AC26)-2))))))</f>
        <v/>
      </c>
      <c r="Z26" s="112" t="str">
        <f aca="false">IF(V26="","",IF(AND(P26="Measured in our systems",Q26="Yes"),"A",IF(P26="Gut feeling","C","B")))</f>
        <v/>
      </c>
      <c r="AA26" s="111" t="str">
        <f aca="false">IF(Y26&lt;&gt;"Complete","","We remove "&amp;FIXED(O26*100,0)&amp;"% of "&amp;FIXED(I26,0)&amp;" "&amp;H26&amp;" a year — worth €"&amp;FIXED(V26,0)&amp;" a year. The number is "&amp;IF(P26="Measured in our systems","measured",IF(P26="Qualified estimate","a qualified estimate","a gut feeling"))&amp;" ("&amp;J26&amp;"). Owner: "&amp;T26&amp;".")</f>
        <v/>
      </c>
      <c r="AB26" s="113" t="str">
        <f aca="false">IF(C26="","",IF(AE26="",IF(Z26="A","Solid — measured and on the bottom line. Be ready to show the source.","Be ready to show where the numbers come from."),LEFT(AE26,LEN(AE26)-3)))</f>
        <v/>
      </c>
      <c r="AC26" s="0" t="str">
        <f aca="false">IF(G26="","problem, ","")&amp;IF(H26="","what we count, ","")&amp;IF(I26="","times per year, ","")&amp;IF(J26="","source of times, ","")&amp;IF(U26="","cost each time, ","")&amp;IF(N26="","source of cost, ","")&amp;IF(O26="","share removed, ","")&amp;IF(P26="","how sure, ","")&amp;IF(Q26="","bottom line, ","")&amp;IF(R26="","shared benefit, ","")&amp;IF(AND(R26="Yes",S26=""),"which line, ","")&amp;IF(T26="","Benefit Owner, ","")</f>
        <v>problem, what we count, times per year, source of times, cost each time, source of cost, share removed, how sure, bottom line, shared benefit, Benefit Owner, </v>
      </c>
      <c r="AD26" s="0" t="str">
        <f aca="true">IF(OR(B26="",C26=""),"",IFERROR(MATCH(B26,Library!$D$5:$D$169,0)+MATCH(C26,OFFSET(Library!$E$5,MATCH(B26,Library!$D$5:$D$169,0)-1,0,COUNTIF(Library!$D$5:$D$169,B26),1),0)-1,""))</f>
        <v/>
      </c>
      <c r="AE26" s="0" t="str">
        <f aca="false">IF(C26="","",IF(O26=1,"Is removing 100% of the problem realistic? · ","")&amp;IF(AND(P26="Gut feeling",ISNUMBER(V26)),IF(V26=MAX($V$6:$V$30),"Your biggest line rests on a gut feeling — can you measure it? · ","A gut feeling — what would it take to measure it? · "),"")&amp;IF(AND(P26="Qualified estimate",ISNUMBER(V26)),IF(V26=MAX($V$6:$V$30),"Your biggest line is an estimate — can you count it in your systems? · ",""),"")&amp;IF(Q26="No","How does the time saved turn into money? · ","")&amp;IF(AND(ISNUMBER(U26),N(U26)&gt;5000),"Check the cost: is it really per occurrence? · ","")&amp;IF(AND(ISNUMBER(I26),N(I26)&gt;100000),"Check the count: is it really per year? · ","")&amp;IF(R26="Yes","Merge or remove the overlap before the CFO sees it. · ",""))</f>
        <v/>
      </c>
      <c r="AF26" s="0" t="str">
        <f aca="false">IF(ISNUMBER(X26),X26+ROW()/1000000,"")</f>
        <v/>
      </c>
    </row>
    <row r="27" customFormat="false" ht="48" hidden="false" customHeight="true" outlineLevel="0" collapsed="false">
      <c r="A27" s="103" t="s">
        <v>222</v>
      </c>
      <c r="B27" s="69"/>
      <c r="C27" s="69"/>
      <c r="D27" s="104" t="str">
        <f aca="false">IF(AD27="","",INDEX(Library!$F$5:$F$169,AD27))</f>
        <v/>
      </c>
      <c r="E27" s="104" t="str">
        <f aca="false">IF(AD27="","",TRIM(IF(INDEX(Library!$G$5:$G$169,AD27)="Yes","SEE ","")&amp;IF(INDEX(Library!$H$5:$H$169,AD27)="Yes","STEER ","")&amp;IF(INDEX(Library!$I$5:$I$169,AD27)="Yes","KEEP","")))</f>
        <v/>
      </c>
      <c r="F27" s="105" t="str">
        <f aca="false">IF(AD27="","",INDEX(Library!$J$5:$J$169,AD27)&amp;IF(INDEX(Library!$K$5:$K$169,AD27)="","",CHAR(10)&amp;"Count: "&amp;INDEX(Library!$K$5:$K$169,AD27)))</f>
        <v/>
      </c>
      <c r="G27" s="69"/>
      <c r="H27" s="69"/>
      <c r="I27" s="106"/>
      <c r="J27" s="69"/>
      <c r="K27" s="106"/>
      <c r="L27" s="106"/>
      <c r="M27" s="106"/>
      <c r="N27" s="69"/>
      <c r="O27" s="107"/>
      <c r="P27" s="69"/>
      <c r="Q27" s="69"/>
      <c r="R27" s="69"/>
      <c r="S27" s="69"/>
      <c r="T27" s="69"/>
      <c r="U27" s="108" t="str">
        <f aca="false">IF(K27&lt;&gt;"",K27,IF(AND(L27&lt;&gt;"",M27&lt;&gt;""),L27/60*M27,""))</f>
        <v/>
      </c>
      <c r="V27" s="109" t="str">
        <f aca="false">IF(OR(I27="",U27="",O27=""),"",I27*U27*O27)</f>
        <v/>
      </c>
      <c r="W27" s="110" t="str">
        <f aca="false">IF(P27="","",IFERROR(INDEX('CFO Appendix'!$B$6:$B$8,MATCH(P27,'CFO Appendix'!$A$6:$A$8,0)),""))</f>
        <v/>
      </c>
      <c r="X27" s="109" t="str">
        <f aca="false">IF(OR(V27="",W27=""),"",V27*W27)</f>
        <v/>
      </c>
      <c r="Y27" s="111" t="str">
        <f aca="false">IF(AND(B27="",C27=""),"",IF(C27="","Choose a capability",IF(AD27="","Capability not in this domain",IF(COUNTIFS($B$6:$B$30,B27,$C$6:$C$30,C27)&gt;1,"Chosen twice",IF(AC27="","Complete","Missing: "&amp;LEFT(AC27,LEN(AC27)-2))))))</f>
        <v/>
      </c>
      <c r="Z27" s="112" t="str">
        <f aca="false">IF(V27="","",IF(AND(P27="Measured in our systems",Q27="Yes"),"A",IF(P27="Gut feeling","C","B")))</f>
        <v/>
      </c>
      <c r="AA27" s="111" t="str">
        <f aca="false">IF(Y27&lt;&gt;"Complete","","We remove "&amp;FIXED(O27*100,0)&amp;"% of "&amp;FIXED(I27,0)&amp;" "&amp;H27&amp;" a year — worth €"&amp;FIXED(V27,0)&amp;" a year. The number is "&amp;IF(P27="Measured in our systems","measured",IF(P27="Qualified estimate","a qualified estimate","a gut feeling"))&amp;" ("&amp;J27&amp;"). Owner: "&amp;T27&amp;".")</f>
        <v/>
      </c>
      <c r="AB27" s="113" t="str">
        <f aca="false">IF(C27="","",IF(AE27="",IF(Z27="A","Solid — measured and on the bottom line. Be ready to show the source.","Be ready to show where the numbers come from."),LEFT(AE27,LEN(AE27)-3)))</f>
        <v/>
      </c>
      <c r="AC27" s="0" t="str">
        <f aca="false">IF(G27="","problem, ","")&amp;IF(H27="","what we count, ","")&amp;IF(I27="","times per year, ","")&amp;IF(J27="","source of times, ","")&amp;IF(U27="","cost each time, ","")&amp;IF(N27="","source of cost, ","")&amp;IF(O27="","share removed, ","")&amp;IF(P27="","how sure, ","")&amp;IF(Q27="","bottom line, ","")&amp;IF(R27="","shared benefit, ","")&amp;IF(AND(R27="Yes",S27=""),"which line, ","")&amp;IF(T27="","Benefit Owner, ","")</f>
        <v>problem, what we count, times per year, source of times, cost each time, source of cost, share removed, how sure, bottom line, shared benefit, Benefit Owner, </v>
      </c>
      <c r="AD27" s="0" t="str">
        <f aca="true">IF(OR(B27="",C27=""),"",IFERROR(MATCH(B27,Library!$D$5:$D$169,0)+MATCH(C27,OFFSET(Library!$E$5,MATCH(B27,Library!$D$5:$D$169,0)-1,0,COUNTIF(Library!$D$5:$D$169,B27),1),0)-1,""))</f>
        <v/>
      </c>
      <c r="AE27" s="0" t="str">
        <f aca="false">IF(C27="","",IF(O27=1,"Is removing 100% of the problem realistic? · ","")&amp;IF(AND(P27="Gut feeling",ISNUMBER(V27)),IF(V27=MAX($V$6:$V$30),"Your biggest line rests on a gut feeling — can you measure it? · ","A gut feeling — what would it take to measure it? · "),"")&amp;IF(AND(P27="Qualified estimate",ISNUMBER(V27)),IF(V27=MAX($V$6:$V$30),"Your biggest line is an estimate — can you count it in your systems? · ",""),"")&amp;IF(Q27="No","How does the time saved turn into money? · ","")&amp;IF(AND(ISNUMBER(U27),N(U27)&gt;5000),"Check the cost: is it really per occurrence? · ","")&amp;IF(AND(ISNUMBER(I27),N(I27)&gt;100000),"Check the count: is it really per year? · ","")&amp;IF(R27="Yes","Merge or remove the overlap before the CFO sees it. · ",""))</f>
        <v/>
      </c>
      <c r="AF27" s="0" t="str">
        <f aca="false">IF(ISNUMBER(X27),X27+ROW()/1000000,"")</f>
        <v/>
      </c>
    </row>
    <row r="28" customFormat="false" ht="48" hidden="false" customHeight="true" outlineLevel="0" collapsed="false">
      <c r="A28" s="103" t="s">
        <v>223</v>
      </c>
      <c r="B28" s="69"/>
      <c r="C28" s="69"/>
      <c r="D28" s="104" t="str">
        <f aca="false">IF(AD28="","",INDEX(Library!$F$5:$F$169,AD28))</f>
        <v/>
      </c>
      <c r="E28" s="104" t="str">
        <f aca="false">IF(AD28="","",TRIM(IF(INDEX(Library!$G$5:$G$169,AD28)="Yes","SEE ","")&amp;IF(INDEX(Library!$H$5:$H$169,AD28)="Yes","STEER ","")&amp;IF(INDEX(Library!$I$5:$I$169,AD28)="Yes","KEEP","")))</f>
        <v/>
      </c>
      <c r="F28" s="105" t="str">
        <f aca="false">IF(AD28="","",INDEX(Library!$J$5:$J$169,AD28)&amp;IF(INDEX(Library!$K$5:$K$169,AD28)="","",CHAR(10)&amp;"Count: "&amp;INDEX(Library!$K$5:$K$169,AD28)))</f>
        <v/>
      </c>
      <c r="G28" s="69"/>
      <c r="H28" s="69"/>
      <c r="I28" s="106"/>
      <c r="J28" s="69"/>
      <c r="K28" s="106"/>
      <c r="L28" s="106"/>
      <c r="M28" s="106"/>
      <c r="N28" s="69"/>
      <c r="O28" s="107"/>
      <c r="P28" s="69"/>
      <c r="Q28" s="69"/>
      <c r="R28" s="69"/>
      <c r="S28" s="69"/>
      <c r="T28" s="69"/>
      <c r="U28" s="108" t="str">
        <f aca="false">IF(K28&lt;&gt;"",K28,IF(AND(L28&lt;&gt;"",M28&lt;&gt;""),L28/60*M28,""))</f>
        <v/>
      </c>
      <c r="V28" s="109" t="str">
        <f aca="false">IF(OR(I28="",U28="",O28=""),"",I28*U28*O28)</f>
        <v/>
      </c>
      <c r="W28" s="110" t="str">
        <f aca="false">IF(P28="","",IFERROR(INDEX('CFO Appendix'!$B$6:$B$8,MATCH(P28,'CFO Appendix'!$A$6:$A$8,0)),""))</f>
        <v/>
      </c>
      <c r="X28" s="109" t="str">
        <f aca="false">IF(OR(V28="",W28=""),"",V28*W28)</f>
        <v/>
      </c>
      <c r="Y28" s="111" t="str">
        <f aca="false">IF(AND(B28="",C28=""),"",IF(C28="","Choose a capability",IF(AD28="","Capability not in this domain",IF(COUNTIFS($B$6:$B$30,B28,$C$6:$C$30,C28)&gt;1,"Chosen twice",IF(AC28="","Complete","Missing: "&amp;LEFT(AC28,LEN(AC28)-2))))))</f>
        <v/>
      </c>
      <c r="Z28" s="112" t="str">
        <f aca="false">IF(V28="","",IF(AND(P28="Measured in our systems",Q28="Yes"),"A",IF(P28="Gut feeling","C","B")))</f>
        <v/>
      </c>
      <c r="AA28" s="111" t="str">
        <f aca="false">IF(Y28&lt;&gt;"Complete","","We remove "&amp;FIXED(O28*100,0)&amp;"% of "&amp;FIXED(I28,0)&amp;" "&amp;H28&amp;" a year — worth €"&amp;FIXED(V28,0)&amp;" a year. The number is "&amp;IF(P28="Measured in our systems","measured",IF(P28="Qualified estimate","a qualified estimate","a gut feeling"))&amp;" ("&amp;J28&amp;"). Owner: "&amp;T28&amp;".")</f>
        <v/>
      </c>
      <c r="AB28" s="113" t="str">
        <f aca="false">IF(C28="","",IF(AE28="",IF(Z28="A","Solid — measured and on the bottom line. Be ready to show the source.","Be ready to show where the numbers come from."),LEFT(AE28,LEN(AE28)-3)))</f>
        <v/>
      </c>
      <c r="AC28" s="0" t="str">
        <f aca="false">IF(G28="","problem, ","")&amp;IF(H28="","what we count, ","")&amp;IF(I28="","times per year, ","")&amp;IF(J28="","source of times, ","")&amp;IF(U28="","cost each time, ","")&amp;IF(N28="","source of cost, ","")&amp;IF(O28="","share removed, ","")&amp;IF(P28="","how sure, ","")&amp;IF(Q28="","bottom line, ","")&amp;IF(R28="","shared benefit, ","")&amp;IF(AND(R28="Yes",S28=""),"which line, ","")&amp;IF(T28="","Benefit Owner, ","")</f>
        <v>problem, what we count, times per year, source of times, cost each time, source of cost, share removed, how sure, bottom line, shared benefit, Benefit Owner, </v>
      </c>
      <c r="AD28" s="0" t="str">
        <f aca="true">IF(OR(B28="",C28=""),"",IFERROR(MATCH(B28,Library!$D$5:$D$169,0)+MATCH(C28,OFFSET(Library!$E$5,MATCH(B28,Library!$D$5:$D$169,0)-1,0,COUNTIF(Library!$D$5:$D$169,B28),1),0)-1,""))</f>
        <v/>
      </c>
      <c r="AE28" s="0" t="str">
        <f aca="false">IF(C28="","",IF(O28=1,"Is removing 100% of the problem realistic? · ","")&amp;IF(AND(P28="Gut feeling",ISNUMBER(V28)),IF(V28=MAX($V$6:$V$30),"Your biggest line rests on a gut feeling — can you measure it? · ","A gut feeling — what would it take to measure it? · "),"")&amp;IF(AND(P28="Qualified estimate",ISNUMBER(V28)),IF(V28=MAX($V$6:$V$30),"Your biggest line is an estimate — can you count it in your systems? · ",""),"")&amp;IF(Q28="No","How does the time saved turn into money? · ","")&amp;IF(AND(ISNUMBER(U28),N(U28)&gt;5000),"Check the cost: is it really per occurrence? · ","")&amp;IF(AND(ISNUMBER(I28),N(I28)&gt;100000),"Check the count: is it really per year? · ","")&amp;IF(R28="Yes","Merge or remove the overlap before the CFO sees it. · ",""))</f>
        <v/>
      </c>
      <c r="AF28" s="0" t="str">
        <f aca="false">IF(ISNUMBER(X28),X28+ROW()/1000000,"")</f>
        <v/>
      </c>
    </row>
    <row r="29" customFormat="false" ht="48" hidden="false" customHeight="true" outlineLevel="0" collapsed="false">
      <c r="A29" s="103" t="s">
        <v>224</v>
      </c>
      <c r="B29" s="69"/>
      <c r="C29" s="69"/>
      <c r="D29" s="104" t="str">
        <f aca="false">IF(AD29="","",INDEX(Library!$F$5:$F$169,AD29))</f>
        <v/>
      </c>
      <c r="E29" s="104" t="str">
        <f aca="false">IF(AD29="","",TRIM(IF(INDEX(Library!$G$5:$G$169,AD29)="Yes","SEE ","")&amp;IF(INDEX(Library!$H$5:$H$169,AD29)="Yes","STEER ","")&amp;IF(INDEX(Library!$I$5:$I$169,AD29)="Yes","KEEP","")))</f>
        <v/>
      </c>
      <c r="F29" s="105" t="str">
        <f aca="false">IF(AD29="","",INDEX(Library!$J$5:$J$169,AD29)&amp;IF(INDEX(Library!$K$5:$K$169,AD29)="","",CHAR(10)&amp;"Count: "&amp;INDEX(Library!$K$5:$K$169,AD29)))</f>
        <v/>
      </c>
      <c r="G29" s="69"/>
      <c r="H29" s="69"/>
      <c r="I29" s="106"/>
      <c r="J29" s="69"/>
      <c r="K29" s="106"/>
      <c r="L29" s="106"/>
      <c r="M29" s="106"/>
      <c r="N29" s="69"/>
      <c r="O29" s="107"/>
      <c r="P29" s="69"/>
      <c r="Q29" s="69"/>
      <c r="R29" s="69"/>
      <c r="S29" s="69"/>
      <c r="T29" s="69"/>
      <c r="U29" s="108" t="str">
        <f aca="false">IF(K29&lt;&gt;"",K29,IF(AND(L29&lt;&gt;"",M29&lt;&gt;""),L29/60*M29,""))</f>
        <v/>
      </c>
      <c r="V29" s="109" t="str">
        <f aca="false">IF(OR(I29="",U29="",O29=""),"",I29*U29*O29)</f>
        <v/>
      </c>
      <c r="W29" s="110" t="str">
        <f aca="false">IF(P29="","",IFERROR(INDEX('CFO Appendix'!$B$6:$B$8,MATCH(P29,'CFO Appendix'!$A$6:$A$8,0)),""))</f>
        <v/>
      </c>
      <c r="X29" s="109" t="str">
        <f aca="false">IF(OR(V29="",W29=""),"",V29*W29)</f>
        <v/>
      </c>
      <c r="Y29" s="111" t="str">
        <f aca="false">IF(AND(B29="",C29=""),"",IF(C29="","Choose a capability",IF(AD29="","Capability not in this domain",IF(COUNTIFS($B$6:$B$30,B29,$C$6:$C$30,C29)&gt;1,"Chosen twice",IF(AC29="","Complete","Missing: "&amp;LEFT(AC29,LEN(AC29)-2))))))</f>
        <v/>
      </c>
      <c r="Z29" s="112" t="str">
        <f aca="false">IF(V29="","",IF(AND(P29="Measured in our systems",Q29="Yes"),"A",IF(P29="Gut feeling","C","B")))</f>
        <v/>
      </c>
      <c r="AA29" s="111" t="str">
        <f aca="false">IF(Y29&lt;&gt;"Complete","","We remove "&amp;FIXED(O29*100,0)&amp;"% of "&amp;FIXED(I29,0)&amp;" "&amp;H29&amp;" a year — worth €"&amp;FIXED(V29,0)&amp;" a year. The number is "&amp;IF(P29="Measured in our systems","measured",IF(P29="Qualified estimate","a qualified estimate","a gut feeling"))&amp;" ("&amp;J29&amp;"). Owner: "&amp;T29&amp;".")</f>
        <v/>
      </c>
      <c r="AB29" s="113" t="str">
        <f aca="false">IF(C29="","",IF(AE29="",IF(Z29="A","Solid — measured and on the bottom line. Be ready to show the source.","Be ready to show where the numbers come from."),LEFT(AE29,LEN(AE29)-3)))</f>
        <v/>
      </c>
      <c r="AC29" s="0" t="str">
        <f aca="false">IF(G29="","problem, ","")&amp;IF(H29="","what we count, ","")&amp;IF(I29="","times per year, ","")&amp;IF(J29="","source of times, ","")&amp;IF(U29="","cost each time, ","")&amp;IF(N29="","source of cost, ","")&amp;IF(O29="","share removed, ","")&amp;IF(P29="","how sure, ","")&amp;IF(Q29="","bottom line, ","")&amp;IF(R29="","shared benefit, ","")&amp;IF(AND(R29="Yes",S29=""),"which line, ","")&amp;IF(T29="","Benefit Owner, ","")</f>
        <v>problem, what we count, times per year, source of times, cost each time, source of cost, share removed, how sure, bottom line, shared benefit, Benefit Owner, </v>
      </c>
      <c r="AD29" s="0" t="str">
        <f aca="true">IF(OR(B29="",C29=""),"",IFERROR(MATCH(B29,Library!$D$5:$D$169,0)+MATCH(C29,OFFSET(Library!$E$5,MATCH(B29,Library!$D$5:$D$169,0)-1,0,COUNTIF(Library!$D$5:$D$169,B29),1),0)-1,""))</f>
        <v/>
      </c>
      <c r="AE29" s="0" t="str">
        <f aca="false">IF(C29="","",IF(O29=1,"Is removing 100% of the problem realistic? · ","")&amp;IF(AND(P29="Gut feeling",ISNUMBER(V29)),IF(V29=MAX($V$6:$V$30),"Your biggest line rests on a gut feeling — can you measure it? · ","A gut feeling — what would it take to measure it? · "),"")&amp;IF(AND(P29="Qualified estimate",ISNUMBER(V29)),IF(V29=MAX($V$6:$V$30),"Your biggest line is an estimate — can you count it in your systems? · ",""),"")&amp;IF(Q29="No","How does the time saved turn into money? · ","")&amp;IF(AND(ISNUMBER(U29),N(U29)&gt;5000),"Check the cost: is it really per occurrence? · ","")&amp;IF(AND(ISNUMBER(I29),N(I29)&gt;100000),"Check the count: is it really per year? · ","")&amp;IF(R29="Yes","Merge or remove the overlap before the CFO sees it. · ",""))</f>
        <v/>
      </c>
      <c r="AF29" s="0" t="str">
        <f aca="false">IF(ISNUMBER(X29),X29+ROW()/1000000,"")</f>
        <v/>
      </c>
    </row>
    <row r="30" customFormat="false" ht="48" hidden="false" customHeight="true" outlineLevel="0" collapsed="false">
      <c r="A30" s="103" t="s">
        <v>225</v>
      </c>
      <c r="B30" s="69"/>
      <c r="C30" s="69"/>
      <c r="D30" s="104" t="str">
        <f aca="false">IF(AD30="","",INDEX(Library!$F$5:$F$169,AD30))</f>
        <v/>
      </c>
      <c r="E30" s="104" t="str">
        <f aca="false">IF(AD30="","",TRIM(IF(INDEX(Library!$G$5:$G$169,AD30)="Yes","SEE ","")&amp;IF(INDEX(Library!$H$5:$H$169,AD30)="Yes","STEER ","")&amp;IF(INDEX(Library!$I$5:$I$169,AD30)="Yes","KEEP","")))</f>
        <v/>
      </c>
      <c r="F30" s="105" t="str">
        <f aca="false">IF(AD30="","",INDEX(Library!$J$5:$J$169,AD30)&amp;IF(INDEX(Library!$K$5:$K$169,AD30)="","",CHAR(10)&amp;"Count: "&amp;INDEX(Library!$K$5:$K$169,AD30)))</f>
        <v/>
      </c>
      <c r="G30" s="69"/>
      <c r="H30" s="69"/>
      <c r="I30" s="106"/>
      <c r="J30" s="69"/>
      <c r="K30" s="106"/>
      <c r="L30" s="106"/>
      <c r="M30" s="106"/>
      <c r="N30" s="69"/>
      <c r="O30" s="107"/>
      <c r="P30" s="69"/>
      <c r="Q30" s="69"/>
      <c r="R30" s="69"/>
      <c r="S30" s="69"/>
      <c r="T30" s="69"/>
      <c r="U30" s="108" t="str">
        <f aca="false">IF(K30&lt;&gt;"",K30,IF(AND(L30&lt;&gt;"",M30&lt;&gt;""),L30/60*M30,""))</f>
        <v/>
      </c>
      <c r="V30" s="109" t="str">
        <f aca="false">IF(OR(I30="",U30="",O30=""),"",I30*U30*O30)</f>
        <v/>
      </c>
      <c r="W30" s="110" t="str">
        <f aca="false">IF(P30="","",IFERROR(INDEX('CFO Appendix'!$B$6:$B$8,MATCH(P30,'CFO Appendix'!$A$6:$A$8,0)),""))</f>
        <v/>
      </c>
      <c r="X30" s="109" t="str">
        <f aca="false">IF(OR(V30="",W30=""),"",V30*W30)</f>
        <v/>
      </c>
      <c r="Y30" s="111" t="str">
        <f aca="false">IF(AND(B30="",C30=""),"",IF(C30="","Choose a capability",IF(AD30="","Capability not in this domain",IF(COUNTIFS($B$6:$B$30,B30,$C$6:$C$30,C30)&gt;1,"Chosen twice",IF(AC30="","Complete","Missing: "&amp;LEFT(AC30,LEN(AC30)-2))))))</f>
        <v/>
      </c>
      <c r="Z30" s="112" t="str">
        <f aca="false">IF(V30="","",IF(AND(P30="Measured in our systems",Q30="Yes"),"A",IF(P30="Gut feeling","C","B")))</f>
        <v/>
      </c>
      <c r="AA30" s="111" t="str">
        <f aca="false">IF(Y30&lt;&gt;"Complete","","We remove "&amp;FIXED(O30*100,0)&amp;"% of "&amp;FIXED(I30,0)&amp;" "&amp;H30&amp;" a year — worth €"&amp;FIXED(V30,0)&amp;" a year. The number is "&amp;IF(P30="Measured in our systems","measured",IF(P30="Qualified estimate","a qualified estimate","a gut feeling"))&amp;" ("&amp;J30&amp;"). Owner: "&amp;T30&amp;".")</f>
        <v/>
      </c>
      <c r="AB30" s="113" t="str">
        <f aca="false">IF(C30="","",IF(AE30="",IF(Z30="A","Solid — measured and on the bottom line. Be ready to show the source.","Be ready to show where the numbers come from."),LEFT(AE30,LEN(AE30)-3)))</f>
        <v/>
      </c>
      <c r="AC30" s="0" t="str">
        <f aca="false">IF(G30="","problem, ","")&amp;IF(H30="","what we count, ","")&amp;IF(I30="","times per year, ","")&amp;IF(J30="","source of times, ","")&amp;IF(U30="","cost each time, ","")&amp;IF(N30="","source of cost, ","")&amp;IF(O30="","share removed, ","")&amp;IF(P30="","how sure, ","")&amp;IF(Q30="","bottom line, ","")&amp;IF(R30="","shared benefit, ","")&amp;IF(AND(R30="Yes",S30=""),"which line, ","")&amp;IF(T30="","Benefit Owner, ","")</f>
        <v>problem, what we count, times per year, source of times, cost each time, source of cost, share removed, how sure, bottom line, shared benefit, Benefit Owner, </v>
      </c>
      <c r="AD30" s="0" t="str">
        <f aca="true">IF(OR(B30="",C30=""),"",IFERROR(MATCH(B30,Library!$D$5:$D$169,0)+MATCH(C30,OFFSET(Library!$E$5,MATCH(B30,Library!$D$5:$D$169,0)-1,0,COUNTIF(Library!$D$5:$D$169,B30),1),0)-1,""))</f>
        <v/>
      </c>
      <c r="AE30" s="0" t="str">
        <f aca="false">IF(C30="","",IF(O30=1,"Is removing 100% of the problem realistic? · ","")&amp;IF(AND(P30="Gut feeling",ISNUMBER(V30)),IF(V30=MAX($V$6:$V$30),"Your biggest line rests on a gut feeling — can you measure it? · ","A gut feeling — what would it take to measure it? · "),"")&amp;IF(AND(P30="Qualified estimate",ISNUMBER(V30)),IF(V30=MAX($V$6:$V$30),"Your biggest line is an estimate — can you count it in your systems? · ",""),"")&amp;IF(Q30="No","How does the time saved turn into money? · ","")&amp;IF(AND(ISNUMBER(U30),N(U30)&gt;5000),"Check the cost: is it really per occurrence? · ","")&amp;IF(AND(ISNUMBER(I30),N(I30)&gt;100000),"Check the count: is it really per year? · ","")&amp;IF(R30="Yes","Merge or remove the overlap before the CFO sees it. · ",""))</f>
        <v/>
      </c>
      <c r="AF30" s="0" t="str">
        <f aca="false">IF(ISNUMBER(X30),X30+ROW()/1000000,"")</f>
        <v/>
      </c>
    </row>
    <row r="31" customFormat="false" ht="15" hidden="false" customHeight="false" outlineLevel="0" collapsed="false">
      <c r="C31" s="114" t="s">
        <v>226</v>
      </c>
      <c r="V31" s="115" t="n">
        <f aca="false">SUM(V6:V30)</f>
        <v>203350</v>
      </c>
      <c r="X31" s="115" t="n">
        <f aca="false">SUM(X6:X30)</f>
        <v>165310</v>
      </c>
    </row>
    <row r="33" customFormat="false" ht="15" hidden="false" customHeight="false" outlineLevel="0" collapsed="false">
      <c r="A33" s="3" t="s">
        <v>397</v>
      </c>
      <c r="B33" s="4"/>
      <c r="C33" s="4"/>
      <c r="D33" s="4"/>
      <c r="E33" s="4"/>
      <c r="F33" s="4"/>
    </row>
    <row r="34" customFormat="false" ht="15" hidden="false" customHeight="false" outlineLevel="0" collapsed="false">
      <c r="B34" s="68" t="s">
        <v>398</v>
      </c>
      <c r="E34" s="109" t="n">
        <f aca="false">240000/'CFO Appendix'!$B$14</f>
        <v>32171.581769437</v>
      </c>
    </row>
    <row r="35" customFormat="false" ht="15" hidden="false" customHeight="false" outlineLevel="0" collapsed="false">
      <c r="B35" s="68" t="s">
        <v>399</v>
      </c>
      <c r="E35" s="106" t="n">
        <v>24000</v>
      </c>
    </row>
    <row r="36" customFormat="false" ht="15" hidden="false" customHeight="false" outlineLevel="0" collapsed="false">
      <c r="B36" s="68" t="s">
        <v>400</v>
      </c>
      <c r="E36" s="106" t="n">
        <v>30000</v>
      </c>
    </row>
    <row r="37" customFormat="false" ht="15" hidden="false" customHeight="false" outlineLevel="0" collapsed="false">
      <c r="B37" s="114" t="s">
        <v>401</v>
      </c>
      <c r="E37" s="115" t="n">
        <f aca="false">SUM(E34:E36)</f>
        <v>86171.581769437</v>
      </c>
    </row>
    <row r="38" customFormat="false" ht="15" hidden="false" customHeight="false" outlineLevel="0" collapsed="false">
      <c r="B38" s="68" t="s">
        <v>402</v>
      </c>
      <c r="E38" s="106" t="n">
        <v>5000</v>
      </c>
    </row>
    <row r="40" customFormat="false" ht="15" hidden="false" customHeight="false" outlineLevel="0" collapsed="false">
      <c r="A40" s="3" t="s">
        <v>403</v>
      </c>
      <c r="B40" s="4"/>
      <c r="C40" s="4"/>
      <c r="D40" s="4"/>
      <c r="E40" s="4"/>
      <c r="F40" s="4"/>
    </row>
    <row r="41" customFormat="false" ht="15" hidden="false" customHeight="false" outlineLevel="0" collapsed="false">
      <c r="A41" s="5"/>
      <c r="B41" s="5" t="s">
        <v>296</v>
      </c>
      <c r="C41" s="5"/>
      <c r="D41" s="5"/>
      <c r="E41" s="5" t="s">
        <v>83</v>
      </c>
      <c r="F41" s="5" t="s">
        <v>85</v>
      </c>
    </row>
    <row r="42" customFormat="false" ht="15" hidden="false" customHeight="false" outlineLevel="0" collapsed="false">
      <c r="B42" s="68" t="s">
        <v>112</v>
      </c>
      <c r="E42" s="115" t="n">
        <f aca="false">SUMIFS($V$6:$V$30,$Q$6:$Q$30,"Yes",$P$6:$P$30,'CFO Appendix'!$A$6)</f>
        <v>52950</v>
      </c>
      <c r="F42" s="115" t="n">
        <f aca="false">SUM($X$6:$X$30)</f>
        <v>165310</v>
      </c>
    </row>
    <row r="43" customFormat="false" ht="15" hidden="false" customHeight="false" outlineLevel="0" collapsed="false">
      <c r="B43" s="68" t="s">
        <v>404</v>
      </c>
      <c r="E43" s="109" t="n">
        <f aca="false">E42*'CFO Appendix'!$B$9</f>
        <v>21180</v>
      </c>
      <c r="F43" s="109" t="n">
        <f aca="false">F42*'CFO Appendix'!$B$9</f>
        <v>66124</v>
      </c>
    </row>
    <row r="44" customFormat="false" ht="15" hidden="false" customHeight="false" outlineLevel="0" collapsed="false">
      <c r="B44" s="68" t="s">
        <v>405</v>
      </c>
      <c r="E44" s="109" t="n">
        <f aca="false">E42*'CFO Appendix'!$B$10</f>
        <v>39712.5</v>
      </c>
      <c r="F44" s="109" t="n">
        <f aca="false">F42*'CFO Appendix'!$B$10</f>
        <v>123982.5</v>
      </c>
    </row>
    <row r="45" customFormat="false" ht="15" hidden="false" customHeight="false" outlineLevel="0" collapsed="false">
      <c r="B45" s="68" t="s">
        <v>406</v>
      </c>
      <c r="E45" s="109" t="n">
        <f aca="false">E42*'CFO Appendix'!$B$11</f>
        <v>52950</v>
      </c>
      <c r="F45" s="109" t="n">
        <f aca="false">F42*'CFO Appendix'!$B$11</f>
        <v>165310</v>
      </c>
    </row>
    <row r="46" customFormat="false" ht="15" hidden="false" customHeight="false" outlineLevel="0" collapsed="false">
      <c r="B46" s="68" t="s">
        <v>401</v>
      </c>
      <c r="E46" s="109" t="n">
        <f aca="false">$E$37</f>
        <v>86171.581769437</v>
      </c>
      <c r="F46" s="109" t="n">
        <f aca="false">$E$37</f>
        <v>86171.581769437</v>
      </c>
    </row>
    <row r="47" customFormat="false" ht="15" hidden="false" customHeight="false" outlineLevel="0" collapsed="false">
      <c r="B47" s="68" t="s">
        <v>407</v>
      </c>
      <c r="E47" s="109" t="n">
        <f aca="false">$E$38</f>
        <v>5000</v>
      </c>
      <c r="F47" s="109" t="n">
        <f aca="false">$E$38</f>
        <v>5000</v>
      </c>
    </row>
    <row r="48" customFormat="false" ht="15" hidden="false" customHeight="false" outlineLevel="0" collapsed="false">
      <c r="B48" s="68" t="s">
        <v>408</v>
      </c>
      <c r="E48" s="109" t="n">
        <f aca="false">-E46+E43-E47</f>
        <v>-69991.581769437</v>
      </c>
      <c r="F48" s="109" t="n">
        <f aca="false">-F46+F43-F47</f>
        <v>-25047.581769437</v>
      </c>
    </row>
    <row r="49" customFormat="false" ht="15" hidden="false" customHeight="false" outlineLevel="0" collapsed="false">
      <c r="B49" s="68" t="s">
        <v>409</v>
      </c>
      <c r="E49" s="109" t="n">
        <f aca="false">E48+E44-E47</f>
        <v>-35279.081769437</v>
      </c>
      <c r="F49" s="109" t="n">
        <f aca="false">F48+F44-F47</f>
        <v>93934.918230563</v>
      </c>
    </row>
    <row r="50" customFormat="false" ht="15" hidden="false" customHeight="false" outlineLevel="0" collapsed="false">
      <c r="B50" s="68" t="s">
        <v>410</v>
      </c>
      <c r="E50" s="109" t="n">
        <f aca="false">E49+E45-E47</f>
        <v>12670.918230563</v>
      </c>
      <c r="F50" s="109" t="n">
        <f aca="false">F49+F45-F47</f>
        <v>254244.918230563</v>
      </c>
    </row>
    <row r="51" customFormat="false" ht="15" hidden="false" customHeight="false" outlineLevel="0" collapsed="false">
      <c r="B51" s="81" t="s">
        <v>113</v>
      </c>
      <c r="E51" s="121" t="n">
        <f aca="false">IFERROR(IF(E42=0,"–",IF(E48&gt;=0,IF(E46=0,0,ROUNDUP(12*E46/(E43-E47),0)),IF(E49&gt;=0,ROUNDUP(12+12*(-E48)/(E44-E47),0),IF(E50&gt;=0,ROUNDUP(24+12*(-E49)/(E45-E47),0),"Not within 3 years")))),"–")</f>
        <v>33</v>
      </c>
      <c r="F51" s="121" t="n">
        <f aca="false">IFERROR(IF(F42=0,"–",IF(F48&gt;=0,IF(F46=0,0,ROUNDUP(12*F46/(F43-F47),0)),IF(F49&gt;=0,ROUNDUP(12+12*(-F48)/(F44-F47),0),IF(F50&gt;=0,ROUNDUP(24+12*(-F49)/(F45-F47),0),"Not within 3 years")))),"–")</f>
        <v>15</v>
      </c>
    </row>
    <row r="53" customFormat="false" ht="15" hidden="false" customHeight="false" outlineLevel="0" collapsed="false">
      <c r="B53" s="114" t="s">
        <v>411</v>
      </c>
    </row>
    <row r="54" customFormat="false" ht="21.75" hidden="false" customHeight="true" outlineLevel="0" collapsed="false">
      <c r="B54" s="93" t="str">
        <f aca="false">IF(ISNUMBER(F51),"The investment pays for itself in "&amp;F51&amp;" months","The investment does not pay for itself within 3 years")&amp;IF(ISNUMBER(E51),". Even if only the measured, bottom-line benefits hold, it pays for itself in "&amp;E51&amp;" months.",". If only the measured, bottom-line benefits hold, it does not pay for itself within 3 years.")</f>
        <v>The investment pays for itself in 15 months. Even if only the measured, bottom-line benefits hold, it pays for itself in 33 months.</v>
      </c>
      <c r="C54" s="93"/>
      <c r="D54" s="93"/>
      <c r="E54" s="93"/>
      <c r="F54" s="93"/>
      <c r="G54" s="93"/>
      <c r="H54" s="93"/>
      <c r="I54" s="93"/>
    </row>
    <row r="55" customFormat="false" ht="15" hidden="false" customHeight="false" outlineLevel="0" collapsed="false">
      <c r="B55" s="93"/>
      <c r="C55" s="93"/>
      <c r="D55" s="93"/>
      <c r="E55" s="93"/>
      <c r="F55" s="93"/>
      <c r="G55" s="93"/>
      <c r="H55" s="93"/>
      <c r="I55" s="93"/>
    </row>
    <row r="57" customFormat="false" ht="30" hidden="false" customHeight="true" outlineLevel="0" collapsed="false">
      <c r="B57" s="124" t="s">
        <v>412</v>
      </c>
      <c r="C57" s="124"/>
      <c r="D57" s="124"/>
      <c r="E57" s="124"/>
      <c r="F57" s="124"/>
      <c r="G57" s="124"/>
      <c r="H57" s="124"/>
      <c r="I57" s="124"/>
    </row>
    <row r="58" customFormat="false" ht="15" hidden="false" customHeight="false" outlineLevel="0" collapsed="false">
      <c r="B58" s="124"/>
      <c r="C58" s="124"/>
      <c r="D58" s="124"/>
      <c r="E58" s="124"/>
      <c r="F58" s="124"/>
      <c r="G58" s="124"/>
      <c r="H58" s="124"/>
      <c r="I58" s="124"/>
    </row>
  </sheetData>
  <sheetProtection sheet="true" formatColumns="false" formatRows="false"/>
  <mergeCells count="14">
    <mergeCell ref="A2:B2"/>
    <mergeCell ref="G2:J2"/>
    <mergeCell ref="K2:T3"/>
    <mergeCell ref="A3:B3"/>
    <mergeCell ref="G3:J3"/>
    <mergeCell ref="B4:F4"/>
    <mergeCell ref="G4:H4"/>
    <mergeCell ref="I4:J4"/>
    <mergeCell ref="K4:N4"/>
    <mergeCell ref="O4:P4"/>
    <mergeCell ref="Q4:S4"/>
    <mergeCell ref="U4:AB4"/>
    <mergeCell ref="B54:I55"/>
    <mergeCell ref="B57:I58"/>
  </mergeCells>
  <conditionalFormatting sqref="Y6:Y30">
    <cfRule type="expression" priority="2" aboveAverage="0" equalAverage="0" bottom="0" percent="0" rank="0" text="" dxfId="7">
      <formula>Y6="Complete"</formula>
    </cfRule>
    <cfRule type="expression" priority="3" aboveAverage="0" equalAverage="0" bottom="0" percent="0" rank="0" text="" dxfId="8">
      <formula>LEFT(Y6,7)="Missing"</formula>
    </cfRule>
    <cfRule type="expression" priority="4" aboveAverage="0" equalAverage="0" bottom="0" percent="0" rank="0" text="" dxfId="4">
      <formula>OR(Y6="Choose a capability",Y6="Capability not in this domain",Y6="Chosen twice")</formula>
    </cfRule>
  </conditionalFormatting>
  <conditionalFormatting sqref="V6:V30">
    <cfRule type="dataBar" priority="5">
      <dataBar showValue="1" minLength="10" maxLength="90">
        <cfvo type="num" val="0"/>
        <cfvo type="max" val="0"/>
        <color rgb="FF1478C5"/>
      </dataBar>
      <extLst>
        <ext xmlns:x14="http://schemas.microsoft.com/office/spreadsheetml/2009/9/main" uri="{B025F937-C7B1-47D3-B67F-A62EFF666E3E}">
          <x14:id>{2C99DDD5-7C25-446F-8593-7F4950AEBFC8}</x14:id>
        </ext>
      </extLst>
    </cfRule>
  </conditionalFormatting>
  <conditionalFormatting sqref="Z6:Z30">
    <cfRule type="expression" priority="6" aboveAverage="0" equalAverage="0" bottom="0" percent="0" rank="0" text="" dxfId="3">
      <formula>Z6="A"</formula>
    </cfRule>
    <cfRule type="expression" priority="7" aboveAverage="0" equalAverage="0" bottom="0" percent="0" rank="0" text="" dxfId="1">
      <formula>Z6="B"</formula>
    </cfRule>
    <cfRule type="expression" priority="8" aboveAverage="0" equalAverage="0" bottom="0" percent="0" rank="0" text="" dxfId="4">
      <formula>Z6="C"</formula>
    </cfRule>
  </conditionalFormatting>
  <dataValidations count="16">
    <dataValidation allowBlank="true" error="Please enter a number (0 or more)." errorStyle="stop" errorTitle="Number needed" operator="greaterThanOrEqual" prompt="How many times does it happen per year today? Count the last 12 months if you can." promptTitle="Step 3" showDropDown="false" showErrorMessage="true" showInputMessage="true" sqref="I6:I30" type="decimal">
      <formula1>0</formula1>
      <formula2>0</formula2>
    </dataValidation>
    <dataValidation allowBlank="true" error="Please enter a number (0 or more)." errorStyle="stop" errorTitle="Number needed" operator="greaterThanOrEqual" prompt="What does it cost each time, in EUR? If it is mostly time, leave this blank and fill in minutes and hourly rate instead." promptTitle="Step 4" showDropDown="false" showErrorMessage="true" showInputMessage="true" sqref="K6:K30" type="decimal">
      <formula1>0</formula1>
      <formula2>0</formula2>
    </dataValidation>
    <dataValidation allowBlank="true" error="Please enter a number (0 or more)." errorStyle="stop" errorTitle="Number needed" operator="greaterThanOrEqual" prompt="Optional: minutes spent each time. Used only if the cost column is blank." promptTitle="Step 4" showDropDown="false" showErrorMessage="true" showInputMessage="true" sqref="L6:L30" type="decimal">
      <formula1>0</formula1>
      <formula2>0</formula2>
    </dataValidation>
    <dataValidation allowBlank="true" error="Please enter a number (0 or more)." errorStyle="stop" errorTitle="Number needed" operator="greaterThanOrEqual" prompt="Optional: fully-loaded hourly rate in EUR (salary + overhead)." promptTitle="Step 4" showDropDown="false" showErrorMessage="true" showInputMessage="true" sqref="M6:M30" type="decimal">
      <formula1>0</formula1>
      <formula2>0</formula2>
    </dataValidation>
    <dataValidation allowBlank="true" error="Enter a percentage between 0% and 100%, e.g. 70%." errorStyle="stop" errorTitle="Percentage needed" operator="between" prompt="How much of the problem will the solution remove? Rarely 100%. E.g. 70%." promptTitle="Step 5" showDropDown="false" showErrorMessage="true" showInputMessage="true" sqref="O6:O30" type="decimal">
      <formula1>0</formula1>
      <formula2>1</formula2>
    </dataValidation>
    <dataValidation allowBlank="true" errorStyle="stop" operator="between" prompt="Describe the problem in plain words, as you would explain it to a colleague. Use the Library suggestion as a start." promptTitle="Step 2" showDropDown="false" showErrorMessage="false" showInputMessage="true" sqref="G6:G30" type="none">
      <formula1>0</formula1>
      <formula2>0</formula2>
    </dataValidation>
    <dataValidation allowBlank="true" errorStyle="stop" operator="between" prompt="What exactly do you count? E.g. 'blocked invoices', 'duplicate customers', 'manual corrections'." promptTitle="Step 2" showDropDown="false" showErrorMessage="false" showInputMessage="true" sqref="H6:H30" type="none">
      <formula1>0</formula1>
      <formula2>0</formula2>
    </dataValidation>
    <dataValidation allowBlank="true" errorStyle="stop" operator="between" prompt="Where does the number come from? E.g. 'SAP log, last 12 months' or 'estimate from team lead'." promptTitle="Step 3" showDropDown="false" showErrorMessage="false" showInputMessage="true" sqref="J6:J30" type="none">
      <formula1>0</formula1>
      <formula2>0</formula2>
    </dataValidation>
    <dataValidation allowBlank="true" errorStyle="stop" operator="between" prompt="Where does the cost come from? E.g. 'Finance', 'time study', 'rate card'." promptTitle="Step 4" showDropDown="false" showErrorMessage="false" showInputMessage="true" sqref="N6:N30" type="none">
      <formula1>0</formula1>
      <formula2>0</formula2>
    </dataValidation>
    <dataValidation allowBlank="true" errorStyle="stop" operator="between" prompt="Which line, and why? Needed only if you answered Yes." promptTitle="Step 6" showDropDown="false" showErrorMessage="false" showInputMessage="true" sqref="S6:S30" type="none">
      <formula1>0</formula1>
      <formula2>0</formula2>
    </dataValidation>
    <dataValidation allowBlank="true" errorStyle="stop" operator="between" prompt="The person in the business who owns this benefit and stands behind it." promptTitle="Step 7" showDropDown="false" showErrorMessage="false" showInputMessage="true" sqref="T6:T30" type="none">
      <formula1>0</formula1>
      <formula2>0</formula2>
    </dataValidation>
    <dataValidation allowBlank="true" errorStyle="stop" operator="between" prompt="Choose the domain first. The capability list in the next column then shows only that domain." promptTitle="Step 1" showDropDown="false" showErrorMessage="false" showInputMessage="true" sqref="B6:B30" type="list">
      <formula1>Library!$Q$5:$Q$15</formula1>
      <formula2>0</formula2>
    </dataValidation>
    <dataValidation allowBlank="true" errorStyle="stop" operator="between" prompt="Choose a capability. Choose the domain first — the list follows it." promptTitle="Step 1" showDropDown="false" showErrorMessage="false" showInputMessage="true" sqref="C6:C30" type="list">
      <formula1>OFFSET(Library!$E$5,MATCH($B6,Library!$D$5:$D$169,0)-1,0,COUNTIF(Library!$D$5:$D$169,$B6),1)</formula1>
      <formula2>0</formula2>
    </dataValidation>
    <dataValidation allowBlank="true" errorStyle="stop" operator="between" prompt="Measured in our systems = counted in full. Qualified estimate = 70%. Gut feeling = 40%." promptTitle="Step 5" showDropDown="false" showErrorMessage="false" showInputMessage="true" sqref="P6:P30" type="list">
      <formula1>"Measured in our systems,Qualified estimate,Gut feeling"</formula1>
      <formula2>0</formula2>
    </dataValidation>
    <dataValidation allowBlank="true" errorStyle="stop" operator="between" prompt="Yes if the saving will show up in the accounts. No if it is real but indirect, e.g. time freed up." promptTitle="Step 6" showDropDown="false" showErrorMessage="false" showInputMessage="true" sqref="Q6:Q30" type="list">
      <formula1>"Yes,No"</formula1>
      <formula2>0</formula2>
    </dataValidation>
    <dataValidation allowBlank="true" errorStyle="stop" operator="between" prompt="Does another line claim the same saving? If yes, merge or remove one before the CFO sees it." promptTitle="Step 6" showDropDown="false" showErrorMessage="false" showInputMessage="true" sqref="R6:R30" type="list">
      <formula1>"Yes,No"</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BenefitPartner · The Business Case Method&amp;R&amp;8 benefitpartner.dk · &amp;P / &amp;N</oddFooter>
  </headerFooter>
  <drawing r:id="rId1"/>
  <extLst>
    <ext xmlns:x14="http://schemas.microsoft.com/office/spreadsheetml/2009/9/main" uri="{78C0D931-6437-407d-A8EE-F0AAD7539E65}">
      <x14:conditionalFormattings>
        <x14:conditionalFormatting xmlns:xm="http://schemas.microsoft.com/office/excel/2006/main">
          <x14:cfRule type="dataBar" id="{2C99DDD5-7C25-446F-8593-7F4950AEBFC8}">
            <x14:dataBar minLength="10" maxLength="90" axisPosition="none" gradient="true">
              <x14:cfvo type="num">
                <xm:f>0</xm:f>
              </x14:cfvo>
              <x14:cfvo type="max"/>
              <x14:negativeFillColor rgb="FF1478C5"/>
              <x14:axisColor rgb="FF000000"/>
            </x14:dataBar>
          </x14:cfRule>
          <xm:sqref>V6:V30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1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5"/>
    <col collapsed="false" customWidth="true" hidden="false" outlineLevel="0" max="3" min="3" style="0" width="8"/>
    <col collapsed="false" customWidth="true" hidden="false" outlineLevel="0" max="4" min="4" style="0" width="16"/>
    <col collapsed="false" customWidth="true" hidden="false" outlineLevel="0" max="5" min="5" style="0" width="30"/>
    <col collapsed="false" customWidth="true" hidden="false" outlineLevel="0" max="6" min="6" style="0" width="16"/>
    <col collapsed="false" customWidth="true" hidden="false" outlineLevel="0" max="9" min="7" style="0" width="11"/>
    <col collapsed="false" customWidth="true" hidden="false" outlineLevel="0" max="10" min="10" style="0" width="50"/>
    <col collapsed="false" customWidth="true" hidden="false" outlineLevel="0" max="11" min="11" style="0" width="26"/>
    <col collapsed="false" customWidth="true" hidden="false" outlineLevel="0" max="12" min="12" style="0" width="12"/>
    <col collapsed="false" customWidth="true" hidden="false" outlineLevel="0" max="13" min="13" style="0" width="16"/>
    <col collapsed="false" customWidth="true" hidden="false" outlineLevel="0" max="14" min="14" style="0" width="40"/>
    <col collapsed="false" customWidth="true" hidden="false" outlineLevel="0" max="15" min="15" style="0" width="22"/>
    <col collapsed="false" customWidth="true" hidden="false" outlineLevel="0" max="17" min="17" style="0" width="30"/>
  </cols>
  <sheetData>
    <row r="1" customFormat="false" ht="54" hidden="false" customHeight="true" outlineLevel="0" collapsed="false">
      <c r="A1" s="1" t="s">
        <v>413</v>
      </c>
      <c r="F1" s="35" t="str">
        <f aca="false">HYPERLINK("#'Start Here'!A4","← Case Map")</f>
        <v>← Case Map</v>
      </c>
    </row>
    <row r="2" customFormat="false" ht="15" hidden="false" customHeight="false" outlineLevel="0" collapsed="false">
      <c r="A2" s="2" t="s">
        <v>414</v>
      </c>
    </row>
    <row r="4" customFormat="false" ht="45" hidden="false" customHeight="true" outlineLevel="0" collapsed="false">
      <c r="A4" s="5" t="s">
        <v>415</v>
      </c>
      <c r="B4" s="5" t="s">
        <v>416</v>
      </c>
      <c r="C4" s="5" t="s">
        <v>417</v>
      </c>
      <c r="D4" s="5" t="s">
        <v>418</v>
      </c>
      <c r="E4" s="5" t="s">
        <v>94</v>
      </c>
      <c r="F4" s="5" t="s">
        <v>173</v>
      </c>
      <c r="G4" s="5" t="s">
        <v>419</v>
      </c>
      <c r="H4" s="5" t="s">
        <v>420</v>
      </c>
      <c r="I4" s="5" t="s">
        <v>421</v>
      </c>
      <c r="J4" s="5" t="s">
        <v>422</v>
      </c>
      <c r="K4" s="5" t="s">
        <v>423</v>
      </c>
      <c r="L4" s="5" t="s">
        <v>424</v>
      </c>
      <c r="M4" s="5" t="s">
        <v>425</v>
      </c>
      <c r="N4" s="5" t="s">
        <v>426</v>
      </c>
      <c r="O4" s="5" t="s">
        <v>427</v>
      </c>
      <c r="Q4" s="5" t="s">
        <v>428</v>
      </c>
    </row>
    <row r="5" customFormat="false" ht="32.8" hidden="false" customHeight="false" outlineLevel="0" collapsed="false">
      <c r="A5" s="87" t="s">
        <v>429</v>
      </c>
      <c r="B5" s="87" t="n">
        <v>1</v>
      </c>
      <c r="C5" s="87" t="s">
        <v>430</v>
      </c>
      <c r="D5" s="87" t="s">
        <v>355</v>
      </c>
      <c r="E5" s="87" t="s">
        <v>369</v>
      </c>
      <c r="F5" s="87" t="s">
        <v>431</v>
      </c>
      <c r="G5" s="87" t="s">
        <v>237</v>
      </c>
      <c r="H5" s="87" t="s">
        <v>361</v>
      </c>
      <c r="I5" s="87" t="s">
        <v>237</v>
      </c>
      <c r="J5" s="87" t="s">
        <v>432</v>
      </c>
      <c r="K5" s="87" t="s">
        <v>433</v>
      </c>
      <c r="L5" s="87" t="s">
        <v>361</v>
      </c>
      <c r="M5" s="87" t="s">
        <v>278</v>
      </c>
      <c r="N5" s="87" t="s">
        <v>434</v>
      </c>
      <c r="O5" s="87" t="s">
        <v>435</v>
      </c>
      <c r="Q5" s="125" t="s">
        <v>355</v>
      </c>
    </row>
    <row r="6" customFormat="false" ht="53.7" hidden="false" customHeight="false" outlineLevel="0" collapsed="false">
      <c r="A6" s="87" t="s">
        <v>436</v>
      </c>
      <c r="B6" s="87" t="n">
        <v>2</v>
      </c>
      <c r="C6" s="87" t="s">
        <v>430</v>
      </c>
      <c r="D6" s="87" t="s">
        <v>355</v>
      </c>
      <c r="E6" s="87" t="s">
        <v>356</v>
      </c>
      <c r="F6" s="87" t="s">
        <v>431</v>
      </c>
      <c r="G6" s="87" t="s">
        <v>361</v>
      </c>
      <c r="H6" s="87" t="s">
        <v>361</v>
      </c>
      <c r="I6" s="87" t="s">
        <v>361</v>
      </c>
      <c r="J6" s="87" t="s">
        <v>437</v>
      </c>
      <c r="K6" s="87" t="s">
        <v>438</v>
      </c>
      <c r="L6" s="87" t="s">
        <v>361</v>
      </c>
      <c r="M6" s="87" t="s">
        <v>278</v>
      </c>
      <c r="N6" s="87" t="s">
        <v>439</v>
      </c>
      <c r="O6" s="87" t="s">
        <v>440</v>
      </c>
      <c r="Q6" s="125" t="s">
        <v>441</v>
      </c>
    </row>
    <row r="7" customFormat="false" ht="43.25" hidden="false" customHeight="false" outlineLevel="0" collapsed="false">
      <c r="A7" s="87" t="s">
        <v>442</v>
      </c>
      <c r="B7" s="87" t="n">
        <v>3</v>
      </c>
      <c r="C7" s="87" t="s">
        <v>430</v>
      </c>
      <c r="D7" s="87" t="s">
        <v>355</v>
      </c>
      <c r="E7" s="87" t="s">
        <v>363</v>
      </c>
      <c r="F7" s="87" t="s">
        <v>431</v>
      </c>
      <c r="G7" s="87" t="s">
        <v>361</v>
      </c>
      <c r="H7" s="87" t="s">
        <v>361</v>
      </c>
      <c r="I7" s="87" t="s">
        <v>361</v>
      </c>
      <c r="J7" s="87" t="s">
        <v>443</v>
      </c>
      <c r="K7" s="87" t="s">
        <v>444</v>
      </c>
      <c r="L7" s="87" t="s">
        <v>361</v>
      </c>
      <c r="M7" s="87" t="s">
        <v>278</v>
      </c>
      <c r="N7" s="87" t="s">
        <v>445</v>
      </c>
      <c r="O7" s="87" t="s">
        <v>440</v>
      </c>
      <c r="Q7" s="125" t="s">
        <v>446</v>
      </c>
    </row>
    <row r="8" customFormat="false" ht="32.8" hidden="false" customHeight="false" outlineLevel="0" collapsed="false">
      <c r="A8" s="87" t="s">
        <v>447</v>
      </c>
      <c r="B8" s="87" t="n">
        <v>4</v>
      </c>
      <c r="C8" s="87" t="s">
        <v>430</v>
      </c>
      <c r="D8" s="87" t="s">
        <v>355</v>
      </c>
      <c r="E8" s="87" t="s">
        <v>375</v>
      </c>
      <c r="F8" s="87" t="s">
        <v>431</v>
      </c>
      <c r="G8" s="87" t="s">
        <v>237</v>
      </c>
      <c r="H8" s="87" t="s">
        <v>361</v>
      </c>
      <c r="I8" s="87" t="s">
        <v>237</v>
      </c>
      <c r="J8" s="87" t="s">
        <v>448</v>
      </c>
      <c r="K8" s="87" t="s">
        <v>449</v>
      </c>
      <c r="L8" s="87" t="s">
        <v>237</v>
      </c>
      <c r="M8" s="87" t="s">
        <v>280</v>
      </c>
      <c r="N8" s="87" t="s">
        <v>450</v>
      </c>
      <c r="O8" s="87" t="s">
        <v>435</v>
      </c>
      <c r="Q8" s="125" t="s">
        <v>451</v>
      </c>
    </row>
    <row r="9" customFormat="false" ht="32.8" hidden="false" customHeight="false" outlineLevel="0" collapsed="false">
      <c r="A9" s="87" t="s">
        <v>452</v>
      </c>
      <c r="B9" s="87" t="n">
        <v>5</v>
      </c>
      <c r="C9" s="87" t="s">
        <v>430</v>
      </c>
      <c r="D9" s="87" t="s">
        <v>355</v>
      </c>
      <c r="E9" s="87" t="s">
        <v>380</v>
      </c>
      <c r="F9" s="87" t="s">
        <v>431</v>
      </c>
      <c r="G9" s="87" t="s">
        <v>361</v>
      </c>
      <c r="H9" s="87" t="s">
        <v>361</v>
      </c>
      <c r="I9" s="87" t="s">
        <v>361</v>
      </c>
      <c r="J9" s="87" t="s">
        <v>453</v>
      </c>
      <c r="K9" s="87" t="s">
        <v>454</v>
      </c>
      <c r="L9" s="87" t="s">
        <v>237</v>
      </c>
      <c r="M9" s="87" t="s">
        <v>280</v>
      </c>
      <c r="N9" s="87" t="s">
        <v>455</v>
      </c>
      <c r="O9" s="87" t="s">
        <v>440</v>
      </c>
      <c r="Q9" s="125" t="s">
        <v>456</v>
      </c>
    </row>
    <row r="10" customFormat="false" ht="32.8" hidden="false" customHeight="false" outlineLevel="0" collapsed="false">
      <c r="A10" s="87" t="s">
        <v>457</v>
      </c>
      <c r="B10" s="87" t="n">
        <v>6</v>
      </c>
      <c r="C10" s="87" t="s">
        <v>430</v>
      </c>
      <c r="D10" s="87" t="s">
        <v>355</v>
      </c>
      <c r="E10" s="87" t="s">
        <v>386</v>
      </c>
      <c r="F10" s="87" t="s">
        <v>458</v>
      </c>
      <c r="G10" s="87" t="s">
        <v>237</v>
      </c>
      <c r="H10" s="87" t="s">
        <v>237</v>
      </c>
      <c r="I10" s="87" t="s">
        <v>237</v>
      </c>
      <c r="J10" s="87" t="s">
        <v>459</v>
      </c>
      <c r="K10" s="87" t="s">
        <v>460</v>
      </c>
      <c r="L10" s="87" t="s">
        <v>237</v>
      </c>
      <c r="M10" s="87" t="s">
        <v>280</v>
      </c>
      <c r="N10" s="87" t="s">
        <v>461</v>
      </c>
      <c r="O10" s="87" t="s">
        <v>435</v>
      </c>
      <c r="Q10" s="125" t="s">
        <v>462</v>
      </c>
    </row>
    <row r="11" customFormat="false" ht="43.25" hidden="false" customHeight="false" outlineLevel="0" collapsed="false">
      <c r="A11" s="87" t="s">
        <v>463</v>
      </c>
      <c r="B11" s="87" t="n">
        <v>7</v>
      </c>
      <c r="C11" s="87" t="s">
        <v>430</v>
      </c>
      <c r="D11" s="87" t="s">
        <v>355</v>
      </c>
      <c r="E11" s="87" t="s">
        <v>464</v>
      </c>
      <c r="F11" s="87" t="s">
        <v>458</v>
      </c>
      <c r="G11" s="87" t="s">
        <v>237</v>
      </c>
      <c r="H11" s="87" t="s">
        <v>361</v>
      </c>
      <c r="I11" s="87" t="s">
        <v>237</v>
      </c>
      <c r="J11" s="87" t="s">
        <v>465</v>
      </c>
      <c r="K11" s="87" t="s">
        <v>466</v>
      </c>
      <c r="L11" s="87" t="s">
        <v>361</v>
      </c>
      <c r="M11" s="87" t="s">
        <v>278</v>
      </c>
      <c r="N11" s="87" t="s">
        <v>467</v>
      </c>
      <c r="O11" s="87" t="s">
        <v>435</v>
      </c>
      <c r="Q11" s="125" t="s">
        <v>468</v>
      </c>
    </row>
    <row r="12" customFormat="false" ht="32.8" hidden="false" customHeight="false" outlineLevel="0" collapsed="false">
      <c r="A12" s="87" t="s">
        <v>469</v>
      </c>
      <c r="B12" s="87" t="n">
        <v>8</v>
      </c>
      <c r="C12" s="87" t="s">
        <v>430</v>
      </c>
      <c r="D12" s="87" t="s">
        <v>355</v>
      </c>
      <c r="E12" s="87" t="s">
        <v>470</v>
      </c>
      <c r="F12" s="87" t="s">
        <v>458</v>
      </c>
      <c r="G12" s="87" t="s">
        <v>237</v>
      </c>
      <c r="H12" s="87" t="s">
        <v>361</v>
      </c>
      <c r="I12" s="87" t="s">
        <v>237</v>
      </c>
      <c r="J12" s="87" t="s">
        <v>471</v>
      </c>
      <c r="K12" s="87" t="s">
        <v>472</v>
      </c>
      <c r="L12" s="87" t="s">
        <v>361</v>
      </c>
      <c r="M12" s="87" t="s">
        <v>278</v>
      </c>
      <c r="N12" s="87" t="s">
        <v>473</v>
      </c>
      <c r="O12" s="87" t="s">
        <v>435</v>
      </c>
      <c r="Q12" s="125" t="s">
        <v>474</v>
      </c>
    </row>
    <row r="13" customFormat="false" ht="43.25" hidden="false" customHeight="false" outlineLevel="0" collapsed="false">
      <c r="A13" s="87" t="s">
        <v>475</v>
      </c>
      <c r="B13" s="87" t="n">
        <v>9</v>
      </c>
      <c r="C13" s="87" t="s">
        <v>430</v>
      </c>
      <c r="D13" s="87" t="s">
        <v>355</v>
      </c>
      <c r="E13" s="87" t="s">
        <v>476</v>
      </c>
      <c r="F13" s="87" t="s">
        <v>458</v>
      </c>
      <c r="G13" s="87" t="s">
        <v>361</v>
      </c>
      <c r="H13" s="87" t="s">
        <v>361</v>
      </c>
      <c r="I13" s="87" t="s">
        <v>361</v>
      </c>
      <c r="J13" s="87" t="s">
        <v>477</v>
      </c>
      <c r="K13" s="87" t="s">
        <v>478</v>
      </c>
      <c r="L13" s="87" t="s">
        <v>237</v>
      </c>
      <c r="M13" s="87" t="s">
        <v>280</v>
      </c>
      <c r="N13" s="87" t="s">
        <v>479</v>
      </c>
      <c r="O13" s="87" t="s">
        <v>480</v>
      </c>
      <c r="Q13" s="125" t="s">
        <v>481</v>
      </c>
    </row>
    <row r="14" customFormat="false" ht="43.25" hidden="false" customHeight="false" outlineLevel="0" collapsed="false">
      <c r="A14" s="87" t="s">
        <v>482</v>
      </c>
      <c r="B14" s="87" t="n">
        <v>10</v>
      </c>
      <c r="C14" s="87" t="s">
        <v>430</v>
      </c>
      <c r="D14" s="87" t="s">
        <v>355</v>
      </c>
      <c r="E14" s="87" t="s">
        <v>483</v>
      </c>
      <c r="F14" s="87" t="s">
        <v>458</v>
      </c>
      <c r="G14" s="87" t="s">
        <v>361</v>
      </c>
      <c r="H14" s="87" t="s">
        <v>361</v>
      </c>
      <c r="I14" s="87" t="s">
        <v>361</v>
      </c>
      <c r="J14" s="87" t="s">
        <v>484</v>
      </c>
      <c r="K14" s="87" t="s">
        <v>478</v>
      </c>
      <c r="L14" s="87" t="s">
        <v>237</v>
      </c>
      <c r="M14" s="87" t="s">
        <v>280</v>
      </c>
      <c r="N14" s="87" t="s">
        <v>485</v>
      </c>
      <c r="O14" s="87" t="s">
        <v>480</v>
      </c>
      <c r="Q14" s="125" t="s">
        <v>486</v>
      </c>
    </row>
    <row r="15" customFormat="false" ht="32.8" hidden="false" customHeight="false" outlineLevel="0" collapsed="false">
      <c r="A15" s="87" t="s">
        <v>487</v>
      </c>
      <c r="B15" s="87" t="n">
        <v>11</v>
      </c>
      <c r="C15" s="87" t="s">
        <v>430</v>
      </c>
      <c r="D15" s="87" t="s">
        <v>355</v>
      </c>
      <c r="E15" s="87" t="s">
        <v>392</v>
      </c>
      <c r="F15" s="87" t="s">
        <v>488</v>
      </c>
      <c r="G15" s="87" t="s">
        <v>237</v>
      </c>
      <c r="H15" s="87" t="s">
        <v>237</v>
      </c>
      <c r="I15" s="87" t="s">
        <v>237</v>
      </c>
      <c r="J15" s="87" t="s">
        <v>489</v>
      </c>
      <c r="K15" s="87" t="s">
        <v>490</v>
      </c>
      <c r="L15" s="87" t="s">
        <v>237</v>
      </c>
      <c r="M15" s="87" t="s">
        <v>280</v>
      </c>
      <c r="N15" s="87" t="s">
        <v>461</v>
      </c>
      <c r="O15" s="87" t="s">
        <v>435</v>
      </c>
      <c r="Q15" s="125" t="s">
        <v>491</v>
      </c>
    </row>
    <row r="16" customFormat="false" ht="32.8" hidden="false" customHeight="false" outlineLevel="0" collapsed="false">
      <c r="A16" s="87" t="s">
        <v>492</v>
      </c>
      <c r="B16" s="87" t="n">
        <v>12</v>
      </c>
      <c r="C16" s="87" t="s">
        <v>430</v>
      </c>
      <c r="D16" s="87" t="s">
        <v>355</v>
      </c>
      <c r="E16" s="87" t="s">
        <v>493</v>
      </c>
      <c r="F16" s="87" t="s">
        <v>488</v>
      </c>
      <c r="G16" s="87" t="s">
        <v>361</v>
      </c>
      <c r="H16" s="87" t="s">
        <v>237</v>
      </c>
      <c r="I16" s="87" t="s">
        <v>361</v>
      </c>
      <c r="J16" s="87" t="s">
        <v>494</v>
      </c>
      <c r="K16" s="87" t="s">
        <v>495</v>
      </c>
      <c r="L16" s="87" t="s">
        <v>237</v>
      </c>
      <c r="M16" s="87" t="s">
        <v>280</v>
      </c>
      <c r="N16" s="87" t="s">
        <v>461</v>
      </c>
      <c r="O16" s="87" t="s">
        <v>440</v>
      </c>
    </row>
    <row r="17" customFormat="false" ht="22.35" hidden="false" customHeight="false" outlineLevel="0" collapsed="false">
      <c r="A17" s="87" t="s">
        <v>496</v>
      </c>
      <c r="B17" s="87" t="n">
        <v>13</v>
      </c>
      <c r="C17" s="87" t="s">
        <v>430</v>
      </c>
      <c r="D17" s="87" t="s">
        <v>355</v>
      </c>
      <c r="E17" s="87" t="s">
        <v>497</v>
      </c>
      <c r="F17" s="87" t="s">
        <v>488</v>
      </c>
      <c r="G17" s="87" t="s">
        <v>237</v>
      </c>
      <c r="H17" s="87" t="s">
        <v>237</v>
      </c>
      <c r="I17" s="87" t="s">
        <v>237</v>
      </c>
      <c r="J17" s="87" t="s">
        <v>498</v>
      </c>
      <c r="K17" s="87" t="s">
        <v>499</v>
      </c>
      <c r="L17" s="87" t="s">
        <v>237</v>
      </c>
      <c r="M17" s="87" t="s">
        <v>280</v>
      </c>
      <c r="N17" s="87" t="s">
        <v>461</v>
      </c>
      <c r="O17" s="87" t="s">
        <v>435</v>
      </c>
    </row>
    <row r="18" customFormat="false" ht="32.8" hidden="false" customHeight="false" outlineLevel="0" collapsed="false">
      <c r="A18" s="87" t="s">
        <v>500</v>
      </c>
      <c r="B18" s="87" t="n">
        <v>14</v>
      </c>
      <c r="C18" s="87" t="s">
        <v>430</v>
      </c>
      <c r="D18" s="87" t="s">
        <v>355</v>
      </c>
      <c r="E18" s="87" t="s">
        <v>501</v>
      </c>
      <c r="F18" s="87" t="s">
        <v>488</v>
      </c>
      <c r="G18" s="87" t="s">
        <v>237</v>
      </c>
      <c r="H18" s="87" t="s">
        <v>361</v>
      </c>
      <c r="I18" s="87" t="s">
        <v>361</v>
      </c>
      <c r="J18" s="87" t="s">
        <v>502</v>
      </c>
      <c r="K18" s="87" t="s">
        <v>503</v>
      </c>
      <c r="L18" s="87" t="s">
        <v>361</v>
      </c>
      <c r="M18" s="87" t="s">
        <v>280</v>
      </c>
      <c r="N18" s="87" t="s">
        <v>504</v>
      </c>
      <c r="O18" s="87" t="s">
        <v>505</v>
      </c>
    </row>
    <row r="19" customFormat="false" ht="22.35" hidden="false" customHeight="false" outlineLevel="0" collapsed="false">
      <c r="A19" s="87" t="s">
        <v>506</v>
      </c>
      <c r="B19" s="87" t="n">
        <v>15</v>
      </c>
      <c r="C19" s="87" t="s">
        <v>430</v>
      </c>
      <c r="D19" s="87" t="s">
        <v>355</v>
      </c>
      <c r="E19" s="87" t="s">
        <v>507</v>
      </c>
      <c r="F19" s="87" t="s">
        <v>488</v>
      </c>
      <c r="G19" s="87" t="s">
        <v>237</v>
      </c>
      <c r="H19" s="87" t="s">
        <v>237</v>
      </c>
      <c r="I19" s="87" t="s">
        <v>361</v>
      </c>
      <c r="J19" s="87" t="s">
        <v>508</v>
      </c>
      <c r="K19" s="87" t="s">
        <v>509</v>
      </c>
      <c r="L19" s="87" t="s">
        <v>237</v>
      </c>
      <c r="M19" s="87" t="s">
        <v>280</v>
      </c>
      <c r="N19" s="87" t="s">
        <v>461</v>
      </c>
      <c r="O19" s="87" t="s">
        <v>510</v>
      </c>
    </row>
    <row r="20" customFormat="false" ht="32.8" hidden="false" customHeight="false" outlineLevel="0" collapsed="false">
      <c r="A20" s="87" t="s">
        <v>511</v>
      </c>
      <c r="B20" s="87" t="n">
        <v>16</v>
      </c>
      <c r="C20" s="87" t="s">
        <v>512</v>
      </c>
      <c r="D20" s="87" t="s">
        <v>441</v>
      </c>
      <c r="E20" s="87" t="s">
        <v>513</v>
      </c>
      <c r="F20" s="87" t="s">
        <v>431</v>
      </c>
      <c r="G20" s="87" t="s">
        <v>237</v>
      </c>
      <c r="H20" s="87" t="s">
        <v>361</v>
      </c>
      <c r="I20" s="87" t="s">
        <v>237</v>
      </c>
      <c r="J20" s="87"/>
      <c r="K20" s="87"/>
      <c r="L20" s="87"/>
      <c r="M20" s="87"/>
      <c r="N20" s="87" t="s">
        <v>434</v>
      </c>
      <c r="O20" s="87" t="s">
        <v>435</v>
      </c>
    </row>
    <row r="21" customFormat="false" ht="32.8" hidden="false" customHeight="false" outlineLevel="0" collapsed="false">
      <c r="A21" s="87" t="s">
        <v>514</v>
      </c>
      <c r="B21" s="87" t="n">
        <v>17</v>
      </c>
      <c r="C21" s="87" t="s">
        <v>512</v>
      </c>
      <c r="D21" s="87" t="s">
        <v>441</v>
      </c>
      <c r="E21" s="87" t="s">
        <v>515</v>
      </c>
      <c r="F21" s="87" t="s">
        <v>431</v>
      </c>
      <c r="G21" s="87" t="s">
        <v>361</v>
      </c>
      <c r="H21" s="87" t="s">
        <v>361</v>
      </c>
      <c r="I21" s="87" t="s">
        <v>361</v>
      </c>
      <c r="J21" s="87"/>
      <c r="K21" s="87"/>
      <c r="L21" s="87"/>
      <c r="M21" s="87"/>
      <c r="N21" s="87" t="s">
        <v>439</v>
      </c>
      <c r="O21" s="87" t="s">
        <v>440</v>
      </c>
    </row>
    <row r="22" customFormat="false" ht="32.8" hidden="false" customHeight="false" outlineLevel="0" collapsed="false">
      <c r="A22" s="87" t="s">
        <v>516</v>
      </c>
      <c r="B22" s="87" t="n">
        <v>18</v>
      </c>
      <c r="C22" s="87" t="s">
        <v>512</v>
      </c>
      <c r="D22" s="87" t="s">
        <v>441</v>
      </c>
      <c r="E22" s="87" t="s">
        <v>517</v>
      </c>
      <c r="F22" s="87" t="s">
        <v>431</v>
      </c>
      <c r="G22" s="87" t="s">
        <v>361</v>
      </c>
      <c r="H22" s="87" t="s">
        <v>361</v>
      </c>
      <c r="I22" s="87" t="s">
        <v>361</v>
      </c>
      <c r="J22" s="87"/>
      <c r="K22" s="87"/>
      <c r="L22" s="87"/>
      <c r="M22" s="87"/>
      <c r="N22" s="87" t="s">
        <v>445</v>
      </c>
      <c r="O22" s="87" t="s">
        <v>440</v>
      </c>
    </row>
    <row r="23" customFormat="false" ht="32.8" hidden="false" customHeight="false" outlineLevel="0" collapsed="false">
      <c r="A23" s="87" t="s">
        <v>518</v>
      </c>
      <c r="B23" s="87" t="n">
        <v>19</v>
      </c>
      <c r="C23" s="87" t="s">
        <v>512</v>
      </c>
      <c r="D23" s="87" t="s">
        <v>441</v>
      </c>
      <c r="E23" s="87" t="s">
        <v>519</v>
      </c>
      <c r="F23" s="87" t="s">
        <v>431</v>
      </c>
      <c r="G23" s="87" t="s">
        <v>237</v>
      </c>
      <c r="H23" s="87" t="s">
        <v>361</v>
      </c>
      <c r="I23" s="87" t="s">
        <v>237</v>
      </c>
      <c r="J23" s="87"/>
      <c r="K23" s="87"/>
      <c r="L23" s="87"/>
      <c r="M23" s="87"/>
      <c r="N23" s="87" t="s">
        <v>450</v>
      </c>
      <c r="O23" s="87" t="s">
        <v>435</v>
      </c>
    </row>
    <row r="24" customFormat="false" ht="32.8" hidden="false" customHeight="false" outlineLevel="0" collapsed="false">
      <c r="A24" s="87" t="s">
        <v>520</v>
      </c>
      <c r="B24" s="87" t="n">
        <v>20</v>
      </c>
      <c r="C24" s="87" t="s">
        <v>512</v>
      </c>
      <c r="D24" s="87" t="s">
        <v>441</v>
      </c>
      <c r="E24" s="87" t="s">
        <v>521</v>
      </c>
      <c r="F24" s="87" t="s">
        <v>431</v>
      </c>
      <c r="G24" s="87" t="s">
        <v>361</v>
      </c>
      <c r="H24" s="87" t="s">
        <v>361</v>
      </c>
      <c r="I24" s="87" t="s">
        <v>361</v>
      </c>
      <c r="J24" s="87"/>
      <c r="K24" s="87"/>
      <c r="L24" s="87"/>
      <c r="M24" s="87"/>
      <c r="N24" s="87" t="s">
        <v>455</v>
      </c>
      <c r="O24" s="87" t="s">
        <v>440</v>
      </c>
    </row>
    <row r="25" customFormat="false" ht="22.35" hidden="false" customHeight="false" outlineLevel="0" collapsed="false">
      <c r="A25" s="87" t="s">
        <v>522</v>
      </c>
      <c r="B25" s="87" t="n">
        <v>21</v>
      </c>
      <c r="C25" s="87" t="s">
        <v>512</v>
      </c>
      <c r="D25" s="87" t="s">
        <v>441</v>
      </c>
      <c r="E25" s="87" t="s">
        <v>386</v>
      </c>
      <c r="F25" s="87" t="s">
        <v>458</v>
      </c>
      <c r="G25" s="87" t="s">
        <v>237</v>
      </c>
      <c r="H25" s="87" t="s">
        <v>237</v>
      </c>
      <c r="I25" s="87" t="s">
        <v>237</v>
      </c>
      <c r="J25" s="87"/>
      <c r="K25" s="87"/>
      <c r="L25" s="87"/>
      <c r="M25" s="87"/>
      <c r="N25" s="87" t="s">
        <v>461</v>
      </c>
      <c r="O25" s="87" t="s">
        <v>435</v>
      </c>
    </row>
    <row r="26" customFormat="false" ht="22.35" hidden="false" customHeight="false" outlineLevel="0" collapsed="false">
      <c r="A26" s="87" t="s">
        <v>523</v>
      </c>
      <c r="B26" s="87" t="n">
        <v>22</v>
      </c>
      <c r="C26" s="87" t="s">
        <v>512</v>
      </c>
      <c r="D26" s="87" t="s">
        <v>441</v>
      </c>
      <c r="E26" s="87" t="s">
        <v>464</v>
      </c>
      <c r="F26" s="87" t="s">
        <v>458</v>
      </c>
      <c r="G26" s="87" t="s">
        <v>237</v>
      </c>
      <c r="H26" s="87" t="s">
        <v>361</v>
      </c>
      <c r="I26" s="87" t="s">
        <v>237</v>
      </c>
      <c r="J26" s="87"/>
      <c r="K26" s="87"/>
      <c r="L26" s="87"/>
      <c r="M26" s="87"/>
      <c r="N26" s="87" t="s">
        <v>467</v>
      </c>
      <c r="O26" s="87" t="s">
        <v>435</v>
      </c>
    </row>
    <row r="27" customFormat="false" ht="32.8" hidden="false" customHeight="false" outlineLevel="0" collapsed="false">
      <c r="A27" s="87" t="s">
        <v>524</v>
      </c>
      <c r="B27" s="87" t="n">
        <v>23</v>
      </c>
      <c r="C27" s="87" t="s">
        <v>512</v>
      </c>
      <c r="D27" s="87" t="s">
        <v>441</v>
      </c>
      <c r="E27" s="87" t="s">
        <v>470</v>
      </c>
      <c r="F27" s="87" t="s">
        <v>458</v>
      </c>
      <c r="G27" s="87" t="s">
        <v>237</v>
      </c>
      <c r="H27" s="87" t="s">
        <v>361</v>
      </c>
      <c r="I27" s="87" t="s">
        <v>237</v>
      </c>
      <c r="J27" s="87"/>
      <c r="K27" s="87"/>
      <c r="L27" s="87"/>
      <c r="M27" s="87"/>
      <c r="N27" s="87" t="s">
        <v>473</v>
      </c>
      <c r="O27" s="87" t="s">
        <v>435</v>
      </c>
    </row>
    <row r="28" customFormat="false" ht="43.25" hidden="false" customHeight="false" outlineLevel="0" collapsed="false">
      <c r="A28" s="87" t="s">
        <v>525</v>
      </c>
      <c r="B28" s="87" t="n">
        <v>24</v>
      </c>
      <c r="C28" s="87" t="s">
        <v>512</v>
      </c>
      <c r="D28" s="87" t="s">
        <v>441</v>
      </c>
      <c r="E28" s="87" t="s">
        <v>476</v>
      </c>
      <c r="F28" s="87" t="s">
        <v>458</v>
      </c>
      <c r="G28" s="87" t="s">
        <v>361</v>
      </c>
      <c r="H28" s="87" t="s">
        <v>361</v>
      </c>
      <c r="I28" s="87" t="s">
        <v>361</v>
      </c>
      <c r="J28" s="87"/>
      <c r="K28" s="87"/>
      <c r="L28" s="87"/>
      <c r="M28" s="87"/>
      <c r="N28" s="87" t="s">
        <v>479</v>
      </c>
      <c r="O28" s="87" t="s">
        <v>480</v>
      </c>
    </row>
    <row r="29" customFormat="false" ht="32.8" hidden="false" customHeight="false" outlineLevel="0" collapsed="false">
      <c r="A29" s="87" t="s">
        <v>526</v>
      </c>
      <c r="B29" s="87" t="n">
        <v>25</v>
      </c>
      <c r="C29" s="87" t="s">
        <v>512</v>
      </c>
      <c r="D29" s="87" t="s">
        <v>441</v>
      </c>
      <c r="E29" s="87" t="s">
        <v>483</v>
      </c>
      <c r="F29" s="87" t="s">
        <v>458</v>
      </c>
      <c r="G29" s="87" t="s">
        <v>361</v>
      </c>
      <c r="H29" s="87" t="s">
        <v>361</v>
      </c>
      <c r="I29" s="87" t="s">
        <v>361</v>
      </c>
      <c r="J29" s="87"/>
      <c r="K29" s="87"/>
      <c r="L29" s="87"/>
      <c r="M29" s="87"/>
      <c r="N29" s="87" t="s">
        <v>485</v>
      </c>
      <c r="O29" s="87" t="s">
        <v>480</v>
      </c>
    </row>
    <row r="30" customFormat="false" ht="22.35" hidden="false" customHeight="false" outlineLevel="0" collapsed="false">
      <c r="A30" s="87" t="s">
        <v>527</v>
      </c>
      <c r="B30" s="87" t="n">
        <v>26</v>
      </c>
      <c r="C30" s="87" t="s">
        <v>512</v>
      </c>
      <c r="D30" s="87" t="s">
        <v>441</v>
      </c>
      <c r="E30" s="87" t="s">
        <v>528</v>
      </c>
      <c r="F30" s="87" t="s">
        <v>488</v>
      </c>
      <c r="G30" s="87" t="s">
        <v>237</v>
      </c>
      <c r="H30" s="87" t="s">
        <v>237</v>
      </c>
      <c r="I30" s="87" t="s">
        <v>237</v>
      </c>
      <c r="J30" s="87"/>
      <c r="K30" s="87"/>
      <c r="L30" s="87"/>
      <c r="M30" s="87"/>
      <c r="N30" s="87" t="s">
        <v>461</v>
      </c>
      <c r="O30" s="87" t="s">
        <v>435</v>
      </c>
    </row>
    <row r="31" customFormat="false" ht="22.35" hidden="false" customHeight="false" outlineLevel="0" collapsed="false">
      <c r="A31" s="87" t="s">
        <v>529</v>
      </c>
      <c r="B31" s="87" t="n">
        <v>27</v>
      </c>
      <c r="C31" s="87" t="s">
        <v>512</v>
      </c>
      <c r="D31" s="87" t="s">
        <v>441</v>
      </c>
      <c r="E31" s="87" t="s">
        <v>493</v>
      </c>
      <c r="F31" s="87" t="s">
        <v>488</v>
      </c>
      <c r="G31" s="87" t="s">
        <v>361</v>
      </c>
      <c r="H31" s="87" t="s">
        <v>237</v>
      </c>
      <c r="I31" s="87" t="s">
        <v>361</v>
      </c>
      <c r="J31" s="87"/>
      <c r="K31" s="87"/>
      <c r="L31" s="87"/>
      <c r="M31" s="87"/>
      <c r="N31" s="87" t="s">
        <v>461</v>
      </c>
      <c r="O31" s="87" t="s">
        <v>440</v>
      </c>
    </row>
    <row r="32" customFormat="false" ht="22.35" hidden="false" customHeight="false" outlineLevel="0" collapsed="false">
      <c r="A32" s="87" t="s">
        <v>530</v>
      </c>
      <c r="B32" s="87" t="n">
        <v>28</v>
      </c>
      <c r="C32" s="87" t="s">
        <v>512</v>
      </c>
      <c r="D32" s="87" t="s">
        <v>441</v>
      </c>
      <c r="E32" s="87" t="s">
        <v>497</v>
      </c>
      <c r="F32" s="87" t="s">
        <v>488</v>
      </c>
      <c r="G32" s="87" t="s">
        <v>237</v>
      </c>
      <c r="H32" s="87" t="s">
        <v>237</v>
      </c>
      <c r="I32" s="87" t="s">
        <v>237</v>
      </c>
      <c r="J32" s="87"/>
      <c r="K32" s="87"/>
      <c r="L32" s="87"/>
      <c r="M32" s="87"/>
      <c r="N32" s="87" t="s">
        <v>461</v>
      </c>
      <c r="O32" s="87" t="s">
        <v>435</v>
      </c>
    </row>
    <row r="33" customFormat="false" ht="32.8" hidden="false" customHeight="false" outlineLevel="0" collapsed="false">
      <c r="A33" s="87" t="s">
        <v>531</v>
      </c>
      <c r="B33" s="87" t="n">
        <v>29</v>
      </c>
      <c r="C33" s="87" t="s">
        <v>512</v>
      </c>
      <c r="D33" s="87" t="s">
        <v>441</v>
      </c>
      <c r="E33" s="87" t="s">
        <v>501</v>
      </c>
      <c r="F33" s="87" t="s">
        <v>488</v>
      </c>
      <c r="G33" s="87" t="s">
        <v>237</v>
      </c>
      <c r="H33" s="87" t="s">
        <v>361</v>
      </c>
      <c r="I33" s="87" t="s">
        <v>361</v>
      </c>
      <c r="J33" s="87"/>
      <c r="K33" s="87"/>
      <c r="L33" s="87"/>
      <c r="M33" s="87"/>
      <c r="N33" s="87" t="s">
        <v>504</v>
      </c>
      <c r="O33" s="87" t="s">
        <v>505</v>
      </c>
    </row>
    <row r="34" customFormat="false" ht="22.35" hidden="false" customHeight="false" outlineLevel="0" collapsed="false">
      <c r="A34" s="87" t="s">
        <v>532</v>
      </c>
      <c r="B34" s="87" t="n">
        <v>30</v>
      </c>
      <c r="C34" s="87" t="s">
        <v>512</v>
      </c>
      <c r="D34" s="87" t="s">
        <v>441</v>
      </c>
      <c r="E34" s="87" t="s">
        <v>507</v>
      </c>
      <c r="F34" s="87" t="s">
        <v>488</v>
      </c>
      <c r="G34" s="87" t="s">
        <v>237</v>
      </c>
      <c r="H34" s="87" t="s">
        <v>237</v>
      </c>
      <c r="I34" s="87" t="s">
        <v>361</v>
      </c>
      <c r="J34" s="87"/>
      <c r="K34" s="87"/>
      <c r="L34" s="87"/>
      <c r="M34" s="87"/>
      <c r="N34" s="87" t="s">
        <v>461</v>
      </c>
      <c r="O34" s="87" t="s">
        <v>510</v>
      </c>
    </row>
    <row r="35" customFormat="false" ht="32.8" hidden="false" customHeight="false" outlineLevel="0" collapsed="false">
      <c r="A35" s="87" t="s">
        <v>533</v>
      </c>
      <c r="B35" s="87" t="n">
        <v>31</v>
      </c>
      <c r="C35" s="87" t="s">
        <v>534</v>
      </c>
      <c r="D35" s="87" t="s">
        <v>446</v>
      </c>
      <c r="E35" s="87" t="s">
        <v>535</v>
      </c>
      <c r="F35" s="87" t="s">
        <v>431</v>
      </c>
      <c r="G35" s="87" t="s">
        <v>237</v>
      </c>
      <c r="H35" s="87" t="s">
        <v>361</v>
      </c>
      <c r="I35" s="87" t="s">
        <v>237</v>
      </c>
      <c r="J35" s="87"/>
      <c r="K35" s="87"/>
      <c r="L35" s="87"/>
      <c r="M35" s="87"/>
      <c r="N35" s="87" t="s">
        <v>434</v>
      </c>
      <c r="O35" s="87" t="s">
        <v>435</v>
      </c>
    </row>
    <row r="36" customFormat="false" ht="32.8" hidden="false" customHeight="false" outlineLevel="0" collapsed="false">
      <c r="A36" s="87" t="s">
        <v>536</v>
      </c>
      <c r="B36" s="87" t="n">
        <v>32</v>
      </c>
      <c r="C36" s="87" t="s">
        <v>534</v>
      </c>
      <c r="D36" s="87" t="s">
        <v>446</v>
      </c>
      <c r="E36" s="87" t="s">
        <v>537</v>
      </c>
      <c r="F36" s="87" t="s">
        <v>431</v>
      </c>
      <c r="G36" s="87" t="s">
        <v>361</v>
      </c>
      <c r="H36" s="87" t="s">
        <v>361</v>
      </c>
      <c r="I36" s="87" t="s">
        <v>361</v>
      </c>
      <c r="J36" s="87"/>
      <c r="K36" s="87"/>
      <c r="L36" s="87"/>
      <c r="M36" s="87"/>
      <c r="N36" s="87" t="s">
        <v>439</v>
      </c>
      <c r="O36" s="87" t="s">
        <v>440</v>
      </c>
    </row>
    <row r="37" customFormat="false" ht="32.8" hidden="false" customHeight="false" outlineLevel="0" collapsed="false">
      <c r="A37" s="87" t="s">
        <v>538</v>
      </c>
      <c r="B37" s="87" t="n">
        <v>33</v>
      </c>
      <c r="C37" s="87" t="s">
        <v>534</v>
      </c>
      <c r="D37" s="87" t="s">
        <v>446</v>
      </c>
      <c r="E37" s="87" t="s">
        <v>539</v>
      </c>
      <c r="F37" s="87" t="s">
        <v>431</v>
      </c>
      <c r="G37" s="87" t="s">
        <v>361</v>
      </c>
      <c r="H37" s="87" t="s">
        <v>361</v>
      </c>
      <c r="I37" s="87" t="s">
        <v>361</v>
      </c>
      <c r="J37" s="87"/>
      <c r="K37" s="87"/>
      <c r="L37" s="87"/>
      <c r="M37" s="87"/>
      <c r="N37" s="87" t="s">
        <v>445</v>
      </c>
      <c r="O37" s="87" t="s">
        <v>440</v>
      </c>
    </row>
    <row r="38" customFormat="false" ht="43.25" hidden="false" customHeight="false" outlineLevel="0" collapsed="false">
      <c r="A38" s="87" t="s">
        <v>540</v>
      </c>
      <c r="B38" s="87" t="n">
        <v>34</v>
      </c>
      <c r="C38" s="87" t="s">
        <v>534</v>
      </c>
      <c r="D38" s="87" t="s">
        <v>446</v>
      </c>
      <c r="E38" s="87" t="s">
        <v>541</v>
      </c>
      <c r="F38" s="87" t="s">
        <v>431</v>
      </c>
      <c r="G38" s="87" t="s">
        <v>237</v>
      </c>
      <c r="H38" s="87" t="s">
        <v>361</v>
      </c>
      <c r="I38" s="87" t="s">
        <v>237</v>
      </c>
      <c r="J38" s="87"/>
      <c r="K38" s="87"/>
      <c r="L38" s="87"/>
      <c r="M38" s="87"/>
      <c r="N38" s="87" t="s">
        <v>542</v>
      </c>
      <c r="O38" s="87" t="s">
        <v>435</v>
      </c>
    </row>
    <row r="39" customFormat="false" ht="32.8" hidden="false" customHeight="false" outlineLevel="0" collapsed="false">
      <c r="A39" s="87" t="s">
        <v>543</v>
      </c>
      <c r="B39" s="87" t="n">
        <v>35</v>
      </c>
      <c r="C39" s="87" t="s">
        <v>534</v>
      </c>
      <c r="D39" s="87" t="s">
        <v>446</v>
      </c>
      <c r="E39" s="87" t="s">
        <v>544</v>
      </c>
      <c r="F39" s="87" t="s">
        <v>431</v>
      </c>
      <c r="G39" s="87" t="s">
        <v>361</v>
      </c>
      <c r="H39" s="87" t="s">
        <v>361</v>
      </c>
      <c r="I39" s="87" t="s">
        <v>361</v>
      </c>
      <c r="J39" s="87"/>
      <c r="K39" s="87"/>
      <c r="L39" s="87"/>
      <c r="M39" s="87"/>
      <c r="N39" s="87" t="s">
        <v>455</v>
      </c>
      <c r="O39" s="87" t="s">
        <v>440</v>
      </c>
    </row>
    <row r="40" customFormat="false" ht="22.35" hidden="false" customHeight="false" outlineLevel="0" collapsed="false">
      <c r="A40" s="87" t="s">
        <v>545</v>
      </c>
      <c r="B40" s="87" t="n">
        <v>36</v>
      </c>
      <c r="C40" s="87" t="s">
        <v>534</v>
      </c>
      <c r="D40" s="87" t="s">
        <v>446</v>
      </c>
      <c r="E40" s="87" t="s">
        <v>386</v>
      </c>
      <c r="F40" s="87" t="s">
        <v>458</v>
      </c>
      <c r="G40" s="87" t="s">
        <v>237</v>
      </c>
      <c r="H40" s="87" t="s">
        <v>237</v>
      </c>
      <c r="I40" s="87" t="s">
        <v>237</v>
      </c>
      <c r="J40" s="87"/>
      <c r="K40" s="87"/>
      <c r="L40" s="87"/>
      <c r="M40" s="87"/>
      <c r="N40" s="87" t="s">
        <v>461</v>
      </c>
      <c r="O40" s="87" t="s">
        <v>435</v>
      </c>
    </row>
    <row r="41" customFormat="false" ht="22.35" hidden="false" customHeight="false" outlineLevel="0" collapsed="false">
      <c r="A41" s="87" t="s">
        <v>546</v>
      </c>
      <c r="B41" s="87" t="n">
        <v>37</v>
      </c>
      <c r="C41" s="87" t="s">
        <v>534</v>
      </c>
      <c r="D41" s="87" t="s">
        <v>446</v>
      </c>
      <c r="E41" s="87" t="s">
        <v>464</v>
      </c>
      <c r="F41" s="87" t="s">
        <v>458</v>
      </c>
      <c r="G41" s="87" t="s">
        <v>237</v>
      </c>
      <c r="H41" s="87" t="s">
        <v>361</v>
      </c>
      <c r="I41" s="87" t="s">
        <v>237</v>
      </c>
      <c r="J41" s="87"/>
      <c r="K41" s="87"/>
      <c r="L41" s="87"/>
      <c r="M41" s="87"/>
      <c r="N41" s="87" t="s">
        <v>467</v>
      </c>
      <c r="O41" s="87" t="s">
        <v>435</v>
      </c>
    </row>
    <row r="42" customFormat="false" ht="32.8" hidden="false" customHeight="false" outlineLevel="0" collapsed="false">
      <c r="A42" s="87" t="s">
        <v>547</v>
      </c>
      <c r="B42" s="87" t="n">
        <v>38</v>
      </c>
      <c r="C42" s="87" t="s">
        <v>534</v>
      </c>
      <c r="D42" s="87" t="s">
        <v>446</v>
      </c>
      <c r="E42" s="87" t="s">
        <v>470</v>
      </c>
      <c r="F42" s="87" t="s">
        <v>458</v>
      </c>
      <c r="G42" s="87" t="s">
        <v>237</v>
      </c>
      <c r="H42" s="87" t="s">
        <v>361</v>
      </c>
      <c r="I42" s="87" t="s">
        <v>237</v>
      </c>
      <c r="J42" s="87"/>
      <c r="K42" s="87"/>
      <c r="L42" s="87"/>
      <c r="M42" s="87"/>
      <c r="N42" s="87" t="s">
        <v>473</v>
      </c>
      <c r="O42" s="87" t="s">
        <v>435</v>
      </c>
    </row>
    <row r="43" customFormat="false" ht="43.25" hidden="false" customHeight="false" outlineLevel="0" collapsed="false">
      <c r="A43" s="87" t="s">
        <v>548</v>
      </c>
      <c r="B43" s="87" t="n">
        <v>39</v>
      </c>
      <c r="C43" s="87" t="s">
        <v>534</v>
      </c>
      <c r="D43" s="87" t="s">
        <v>446</v>
      </c>
      <c r="E43" s="87" t="s">
        <v>476</v>
      </c>
      <c r="F43" s="87" t="s">
        <v>458</v>
      </c>
      <c r="G43" s="87" t="s">
        <v>361</v>
      </c>
      <c r="H43" s="87" t="s">
        <v>361</v>
      </c>
      <c r="I43" s="87" t="s">
        <v>361</v>
      </c>
      <c r="J43" s="87"/>
      <c r="K43" s="87"/>
      <c r="L43" s="87"/>
      <c r="M43" s="87"/>
      <c r="N43" s="87" t="s">
        <v>479</v>
      </c>
      <c r="O43" s="87" t="s">
        <v>480</v>
      </c>
    </row>
    <row r="44" customFormat="false" ht="32.8" hidden="false" customHeight="false" outlineLevel="0" collapsed="false">
      <c r="A44" s="87" t="s">
        <v>549</v>
      </c>
      <c r="B44" s="87" t="n">
        <v>40</v>
      </c>
      <c r="C44" s="87" t="s">
        <v>534</v>
      </c>
      <c r="D44" s="87" t="s">
        <v>446</v>
      </c>
      <c r="E44" s="87" t="s">
        <v>483</v>
      </c>
      <c r="F44" s="87" t="s">
        <v>458</v>
      </c>
      <c r="G44" s="87" t="s">
        <v>361</v>
      </c>
      <c r="H44" s="87" t="s">
        <v>361</v>
      </c>
      <c r="I44" s="87" t="s">
        <v>361</v>
      </c>
      <c r="J44" s="87"/>
      <c r="K44" s="87"/>
      <c r="L44" s="87"/>
      <c r="M44" s="87"/>
      <c r="N44" s="87" t="s">
        <v>485</v>
      </c>
      <c r="O44" s="87" t="s">
        <v>480</v>
      </c>
    </row>
    <row r="45" customFormat="false" ht="22.35" hidden="false" customHeight="false" outlineLevel="0" collapsed="false">
      <c r="A45" s="87" t="s">
        <v>550</v>
      </c>
      <c r="B45" s="87" t="n">
        <v>41</v>
      </c>
      <c r="C45" s="87" t="s">
        <v>534</v>
      </c>
      <c r="D45" s="87" t="s">
        <v>446</v>
      </c>
      <c r="E45" s="87" t="s">
        <v>551</v>
      </c>
      <c r="F45" s="87" t="s">
        <v>488</v>
      </c>
      <c r="G45" s="87" t="s">
        <v>237</v>
      </c>
      <c r="H45" s="87" t="s">
        <v>237</v>
      </c>
      <c r="I45" s="87" t="s">
        <v>237</v>
      </c>
      <c r="J45" s="87"/>
      <c r="K45" s="87"/>
      <c r="L45" s="87"/>
      <c r="M45" s="87"/>
      <c r="N45" s="87" t="s">
        <v>461</v>
      </c>
      <c r="O45" s="87" t="s">
        <v>435</v>
      </c>
    </row>
    <row r="46" customFormat="false" ht="22.35" hidden="false" customHeight="false" outlineLevel="0" collapsed="false">
      <c r="A46" s="87" t="s">
        <v>552</v>
      </c>
      <c r="B46" s="87" t="n">
        <v>42</v>
      </c>
      <c r="C46" s="87" t="s">
        <v>534</v>
      </c>
      <c r="D46" s="87" t="s">
        <v>446</v>
      </c>
      <c r="E46" s="87" t="s">
        <v>493</v>
      </c>
      <c r="F46" s="87" t="s">
        <v>488</v>
      </c>
      <c r="G46" s="87" t="s">
        <v>361</v>
      </c>
      <c r="H46" s="87" t="s">
        <v>237</v>
      </c>
      <c r="I46" s="87" t="s">
        <v>361</v>
      </c>
      <c r="J46" s="87"/>
      <c r="K46" s="87"/>
      <c r="L46" s="87"/>
      <c r="M46" s="87"/>
      <c r="N46" s="87" t="s">
        <v>461</v>
      </c>
      <c r="O46" s="87" t="s">
        <v>440</v>
      </c>
    </row>
    <row r="47" customFormat="false" ht="22.35" hidden="false" customHeight="false" outlineLevel="0" collapsed="false">
      <c r="A47" s="87" t="s">
        <v>553</v>
      </c>
      <c r="B47" s="87" t="n">
        <v>43</v>
      </c>
      <c r="C47" s="87" t="s">
        <v>534</v>
      </c>
      <c r="D47" s="87" t="s">
        <v>446</v>
      </c>
      <c r="E47" s="87" t="s">
        <v>497</v>
      </c>
      <c r="F47" s="87" t="s">
        <v>488</v>
      </c>
      <c r="G47" s="87" t="s">
        <v>237</v>
      </c>
      <c r="H47" s="87" t="s">
        <v>237</v>
      </c>
      <c r="I47" s="87" t="s">
        <v>237</v>
      </c>
      <c r="J47" s="87"/>
      <c r="K47" s="87"/>
      <c r="L47" s="87"/>
      <c r="M47" s="87"/>
      <c r="N47" s="87" t="s">
        <v>461</v>
      </c>
      <c r="O47" s="87" t="s">
        <v>435</v>
      </c>
    </row>
    <row r="48" customFormat="false" ht="32.8" hidden="false" customHeight="false" outlineLevel="0" collapsed="false">
      <c r="A48" s="87" t="s">
        <v>554</v>
      </c>
      <c r="B48" s="87" t="n">
        <v>44</v>
      </c>
      <c r="C48" s="87" t="s">
        <v>534</v>
      </c>
      <c r="D48" s="87" t="s">
        <v>446</v>
      </c>
      <c r="E48" s="87" t="s">
        <v>501</v>
      </c>
      <c r="F48" s="87" t="s">
        <v>488</v>
      </c>
      <c r="G48" s="87" t="s">
        <v>237</v>
      </c>
      <c r="H48" s="87" t="s">
        <v>361</v>
      </c>
      <c r="I48" s="87" t="s">
        <v>361</v>
      </c>
      <c r="J48" s="87"/>
      <c r="K48" s="87"/>
      <c r="L48" s="87"/>
      <c r="M48" s="87"/>
      <c r="N48" s="87" t="s">
        <v>504</v>
      </c>
      <c r="O48" s="87" t="s">
        <v>505</v>
      </c>
    </row>
    <row r="49" customFormat="false" ht="22.35" hidden="false" customHeight="false" outlineLevel="0" collapsed="false">
      <c r="A49" s="87" t="s">
        <v>555</v>
      </c>
      <c r="B49" s="87" t="n">
        <v>45</v>
      </c>
      <c r="C49" s="87" t="s">
        <v>534</v>
      </c>
      <c r="D49" s="87" t="s">
        <v>446</v>
      </c>
      <c r="E49" s="87" t="s">
        <v>507</v>
      </c>
      <c r="F49" s="87" t="s">
        <v>488</v>
      </c>
      <c r="G49" s="87" t="s">
        <v>237</v>
      </c>
      <c r="H49" s="87" t="s">
        <v>237</v>
      </c>
      <c r="I49" s="87" t="s">
        <v>361</v>
      </c>
      <c r="J49" s="87"/>
      <c r="K49" s="87"/>
      <c r="L49" s="87"/>
      <c r="M49" s="87"/>
      <c r="N49" s="87" t="s">
        <v>461</v>
      </c>
      <c r="O49" s="87" t="s">
        <v>510</v>
      </c>
    </row>
    <row r="50" customFormat="false" ht="32.8" hidden="false" customHeight="false" outlineLevel="0" collapsed="false">
      <c r="A50" s="87" t="s">
        <v>556</v>
      </c>
      <c r="B50" s="87" t="n">
        <v>46</v>
      </c>
      <c r="C50" s="87" t="s">
        <v>557</v>
      </c>
      <c r="D50" s="87" t="s">
        <v>451</v>
      </c>
      <c r="E50" s="87" t="s">
        <v>558</v>
      </c>
      <c r="F50" s="87" t="s">
        <v>431</v>
      </c>
      <c r="G50" s="87" t="s">
        <v>237</v>
      </c>
      <c r="H50" s="87" t="s">
        <v>361</v>
      </c>
      <c r="I50" s="87" t="s">
        <v>237</v>
      </c>
      <c r="J50" s="87"/>
      <c r="K50" s="87"/>
      <c r="L50" s="87"/>
      <c r="M50" s="87"/>
      <c r="N50" s="87" t="s">
        <v>434</v>
      </c>
      <c r="O50" s="87" t="s">
        <v>435</v>
      </c>
    </row>
    <row r="51" customFormat="false" ht="32.8" hidden="false" customHeight="false" outlineLevel="0" collapsed="false">
      <c r="A51" s="87" t="s">
        <v>559</v>
      </c>
      <c r="B51" s="87" t="n">
        <v>47</v>
      </c>
      <c r="C51" s="87" t="s">
        <v>557</v>
      </c>
      <c r="D51" s="87" t="s">
        <v>451</v>
      </c>
      <c r="E51" s="87" t="s">
        <v>560</v>
      </c>
      <c r="F51" s="87" t="s">
        <v>431</v>
      </c>
      <c r="G51" s="87" t="s">
        <v>361</v>
      </c>
      <c r="H51" s="87" t="s">
        <v>361</v>
      </c>
      <c r="I51" s="87" t="s">
        <v>361</v>
      </c>
      <c r="J51" s="87"/>
      <c r="K51" s="87"/>
      <c r="L51" s="87"/>
      <c r="M51" s="87"/>
      <c r="N51" s="87" t="s">
        <v>439</v>
      </c>
      <c r="O51" s="87" t="s">
        <v>440</v>
      </c>
    </row>
    <row r="52" customFormat="false" ht="43.25" hidden="false" customHeight="false" outlineLevel="0" collapsed="false">
      <c r="A52" s="87" t="s">
        <v>561</v>
      </c>
      <c r="B52" s="87" t="n">
        <v>48</v>
      </c>
      <c r="C52" s="87" t="s">
        <v>557</v>
      </c>
      <c r="D52" s="87" t="s">
        <v>451</v>
      </c>
      <c r="E52" s="87" t="s">
        <v>562</v>
      </c>
      <c r="F52" s="87" t="s">
        <v>431</v>
      </c>
      <c r="G52" s="87" t="s">
        <v>361</v>
      </c>
      <c r="H52" s="87" t="s">
        <v>361</v>
      </c>
      <c r="I52" s="87" t="s">
        <v>361</v>
      </c>
      <c r="J52" s="87"/>
      <c r="K52" s="87"/>
      <c r="L52" s="87"/>
      <c r="M52" s="87"/>
      <c r="N52" s="87" t="s">
        <v>563</v>
      </c>
      <c r="O52" s="87" t="s">
        <v>440</v>
      </c>
    </row>
    <row r="53" customFormat="false" ht="32.8" hidden="false" customHeight="false" outlineLevel="0" collapsed="false">
      <c r="A53" s="87" t="s">
        <v>564</v>
      </c>
      <c r="B53" s="87" t="n">
        <v>49</v>
      </c>
      <c r="C53" s="87" t="s">
        <v>557</v>
      </c>
      <c r="D53" s="87" t="s">
        <v>451</v>
      </c>
      <c r="E53" s="87" t="s">
        <v>565</v>
      </c>
      <c r="F53" s="87" t="s">
        <v>431</v>
      </c>
      <c r="G53" s="87" t="s">
        <v>237</v>
      </c>
      <c r="H53" s="87" t="s">
        <v>361</v>
      </c>
      <c r="I53" s="87" t="s">
        <v>237</v>
      </c>
      <c r="J53" s="87"/>
      <c r="K53" s="87"/>
      <c r="L53" s="87"/>
      <c r="M53" s="87"/>
      <c r="N53" s="87" t="s">
        <v>450</v>
      </c>
      <c r="O53" s="87" t="s">
        <v>435</v>
      </c>
    </row>
    <row r="54" customFormat="false" ht="32.8" hidden="false" customHeight="false" outlineLevel="0" collapsed="false">
      <c r="A54" s="87" t="s">
        <v>566</v>
      </c>
      <c r="B54" s="87" t="n">
        <v>50</v>
      </c>
      <c r="C54" s="87" t="s">
        <v>557</v>
      </c>
      <c r="D54" s="87" t="s">
        <v>451</v>
      </c>
      <c r="E54" s="87" t="s">
        <v>567</v>
      </c>
      <c r="F54" s="87" t="s">
        <v>431</v>
      </c>
      <c r="G54" s="87" t="s">
        <v>361</v>
      </c>
      <c r="H54" s="87" t="s">
        <v>361</v>
      </c>
      <c r="I54" s="87" t="s">
        <v>361</v>
      </c>
      <c r="J54" s="87"/>
      <c r="K54" s="87"/>
      <c r="L54" s="87"/>
      <c r="M54" s="87"/>
      <c r="N54" s="87" t="s">
        <v>568</v>
      </c>
      <c r="O54" s="87" t="s">
        <v>440</v>
      </c>
    </row>
    <row r="55" customFormat="false" ht="22.35" hidden="false" customHeight="false" outlineLevel="0" collapsed="false">
      <c r="A55" s="87" t="s">
        <v>569</v>
      </c>
      <c r="B55" s="87" t="n">
        <v>51</v>
      </c>
      <c r="C55" s="87" t="s">
        <v>557</v>
      </c>
      <c r="D55" s="87" t="s">
        <v>451</v>
      </c>
      <c r="E55" s="87" t="s">
        <v>386</v>
      </c>
      <c r="F55" s="87" t="s">
        <v>458</v>
      </c>
      <c r="G55" s="87" t="s">
        <v>237</v>
      </c>
      <c r="H55" s="87" t="s">
        <v>237</v>
      </c>
      <c r="I55" s="87" t="s">
        <v>237</v>
      </c>
      <c r="J55" s="87"/>
      <c r="K55" s="87"/>
      <c r="L55" s="87"/>
      <c r="M55" s="87"/>
      <c r="N55" s="87" t="s">
        <v>461</v>
      </c>
      <c r="O55" s="87" t="s">
        <v>435</v>
      </c>
    </row>
    <row r="56" customFormat="false" ht="22.35" hidden="false" customHeight="false" outlineLevel="0" collapsed="false">
      <c r="A56" s="87" t="s">
        <v>570</v>
      </c>
      <c r="B56" s="87" t="n">
        <v>52</v>
      </c>
      <c r="C56" s="87" t="s">
        <v>557</v>
      </c>
      <c r="D56" s="87" t="s">
        <v>451</v>
      </c>
      <c r="E56" s="87" t="s">
        <v>464</v>
      </c>
      <c r="F56" s="87" t="s">
        <v>458</v>
      </c>
      <c r="G56" s="87" t="s">
        <v>237</v>
      </c>
      <c r="H56" s="87" t="s">
        <v>361</v>
      </c>
      <c r="I56" s="87" t="s">
        <v>237</v>
      </c>
      <c r="J56" s="87"/>
      <c r="K56" s="87"/>
      <c r="L56" s="87"/>
      <c r="M56" s="87"/>
      <c r="N56" s="87" t="s">
        <v>467</v>
      </c>
      <c r="O56" s="87" t="s">
        <v>435</v>
      </c>
    </row>
    <row r="57" customFormat="false" ht="32.8" hidden="false" customHeight="false" outlineLevel="0" collapsed="false">
      <c r="A57" s="87" t="s">
        <v>571</v>
      </c>
      <c r="B57" s="87" t="n">
        <v>53</v>
      </c>
      <c r="C57" s="87" t="s">
        <v>557</v>
      </c>
      <c r="D57" s="87" t="s">
        <v>451</v>
      </c>
      <c r="E57" s="87" t="s">
        <v>470</v>
      </c>
      <c r="F57" s="87" t="s">
        <v>458</v>
      </c>
      <c r="G57" s="87" t="s">
        <v>237</v>
      </c>
      <c r="H57" s="87" t="s">
        <v>361</v>
      </c>
      <c r="I57" s="87" t="s">
        <v>237</v>
      </c>
      <c r="J57" s="87"/>
      <c r="K57" s="87"/>
      <c r="L57" s="87"/>
      <c r="M57" s="87"/>
      <c r="N57" s="87" t="s">
        <v>473</v>
      </c>
      <c r="O57" s="87" t="s">
        <v>435</v>
      </c>
    </row>
    <row r="58" customFormat="false" ht="43.25" hidden="false" customHeight="false" outlineLevel="0" collapsed="false">
      <c r="A58" s="87" t="s">
        <v>572</v>
      </c>
      <c r="B58" s="87" t="n">
        <v>54</v>
      </c>
      <c r="C58" s="87" t="s">
        <v>557</v>
      </c>
      <c r="D58" s="87" t="s">
        <v>451</v>
      </c>
      <c r="E58" s="87" t="s">
        <v>476</v>
      </c>
      <c r="F58" s="87" t="s">
        <v>458</v>
      </c>
      <c r="G58" s="87" t="s">
        <v>361</v>
      </c>
      <c r="H58" s="87" t="s">
        <v>361</v>
      </c>
      <c r="I58" s="87" t="s">
        <v>361</v>
      </c>
      <c r="J58" s="87"/>
      <c r="K58" s="87"/>
      <c r="L58" s="87"/>
      <c r="M58" s="87"/>
      <c r="N58" s="87" t="s">
        <v>479</v>
      </c>
      <c r="O58" s="87" t="s">
        <v>480</v>
      </c>
    </row>
    <row r="59" customFormat="false" ht="32.8" hidden="false" customHeight="false" outlineLevel="0" collapsed="false">
      <c r="A59" s="87" t="s">
        <v>573</v>
      </c>
      <c r="B59" s="87" t="n">
        <v>55</v>
      </c>
      <c r="C59" s="87" t="s">
        <v>557</v>
      </c>
      <c r="D59" s="87" t="s">
        <v>451</v>
      </c>
      <c r="E59" s="87" t="s">
        <v>483</v>
      </c>
      <c r="F59" s="87" t="s">
        <v>458</v>
      </c>
      <c r="G59" s="87" t="s">
        <v>361</v>
      </c>
      <c r="H59" s="87" t="s">
        <v>361</v>
      </c>
      <c r="I59" s="87" t="s">
        <v>361</v>
      </c>
      <c r="J59" s="87"/>
      <c r="K59" s="87"/>
      <c r="L59" s="87"/>
      <c r="M59" s="87"/>
      <c r="N59" s="87" t="s">
        <v>485</v>
      </c>
      <c r="O59" s="87" t="s">
        <v>480</v>
      </c>
    </row>
    <row r="60" customFormat="false" ht="22.35" hidden="false" customHeight="false" outlineLevel="0" collapsed="false">
      <c r="A60" s="87" t="s">
        <v>574</v>
      </c>
      <c r="B60" s="87" t="n">
        <v>56</v>
      </c>
      <c r="C60" s="87" t="s">
        <v>557</v>
      </c>
      <c r="D60" s="87" t="s">
        <v>451</v>
      </c>
      <c r="E60" s="87" t="s">
        <v>575</v>
      </c>
      <c r="F60" s="87" t="s">
        <v>488</v>
      </c>
      <c r="G60" s="87" t="s">
        <v>237</v>
      </c>
      <c r="H60" s="87" t="s">
        <v>237</v>
      </c>
      <c r="I60" s="87" t="s">
        <v>237</v>
      </c>
      <c r="J60" s="87"/>
      <c r="K60" s="87"/>
      <c r="L60" s="87"/>
      <c r="M60" s="87"/>
      <c r="N60" s="87" t="s">
        <v>461</v>
      </c>
      <c r="O60" s="87" t="s">
        <v>435</v>
      </c>
    </row>
    <row r="61" customFormat="false" ht="22.35" hidden="false" customHeight="false" outlineLevel="0" collapsed="false">
      <c r="A61" s="87" t="s">
        <v>576</v>
      </c>
      <c r="B61" s="87" t="n">
        <v>57</v>
      </c>
      <c r="C61" s="87" t="s">
        <v>557</v>
      </c>
      <c r="D61" s="87" t="s">
        <v>451</v>
      </c>
      <c r="E61" s="87" t="s">
        <v>493</v>
      </c>
      <c r="F61" s="87" t="s">
        <v>488</v>
      </c>
      <c r="G61" s="87" t="s">
        <v>361</v>
      </c>
      <c r="H61" s="87" t="s">
        <v>237</v>
      </c>
      <c r="I61" s="87" t="s">
        <v>361</v>
      </c>
      <c r="J61" s="87"/>
      <c r="K61" s="87"/>
      <c r="L61" s="87"/>
      <c r="M61" s="87"/>
      <c r="N61" s="87" t="s">
        <v>461</v>
      </c>
      <c r="O61" s="87" t="s">
        <v>440</v>
      </c>
    </row>
    <row r="62" customFormat="false" ht="22.35" hidden="false" customHeight="false" outlineLevel="0" collapsed="false">
      <c r="A62" s="87" t="s">
        <v>577</v>
      </c>
      <c r="B62" s="87" t="n">
        <v>58</v>
      </c>
      <c r="C62" s="87" t="s">
        <v>557</v>
      </c>
      <c r="D62" s="87" t="s">
        <v>451</v>
      </c>
      <c r="E62" s="87" t="s">
        <v>497</v>
      </c>
      <c r="F62" s="87" t="s">
        <v>488</v>
      </c>
      <c r="G62" s="87" t="s">
        <v>237</v>
      </c>
      <c r="H62" s="87" t="s">
        <v>237</v>
      </c>
      <c r="I62" s="87" t="s">
        <v>237</v>
      </c>
      <c r="J62" s="87"/>
      <c r="K62" s="87"/>
      <c r="L62" s="87"/>
      <c r="M62" s="87"/>
      <c r="N62" s="87" t="s">
        <v>461</v>
      </c>
      <c r="O62" s="87" t="s">
        <v>435</v>
      </c>
    </row>
    <row r="63" customFormat="false" ht="32.8" hidden="false" customHeight="false" outlineLevel="0" collapsed="false">
      <c r="A63" s="87" t="s">
        <v>578</v>
      </c>
      <c r="B63" s="87" t="n">
        <v>59</v>
      </c>
      <c r="C63" s="87" t="s">
        <v>557</v>
      </c>
      <c r="D63" s="87" t="s">
        <v>451</v>
      </c>
      <c r="E63" s="87" t="s">
        <v>501</v>
      </c>
      <c r="F63" s="87" t="s">
        <v>488</v>
      </c>
      <c r="G63" s="87" t="s">
        <v>237</v>
      </c>
      <c r="H63" s="87" t="s">
        <v>361</v>
      </c>
      <c r="I63" s="87" t="s">
        <v>361</v>
      </c>
      <c r="J63" s="87"/>
      <c r="K63" s="87"/>
      <c r="L63" s="87"/>
      <c r="M63" s="87"/>
      <c r="N63" s="87" t="s">
        <v>504</v>
      </c>
      <c r="O63" s="87" t="s">
        <v>505</v>
      </c>
    </row>
    <row r="64" customFormat="false" ht="22.35" hidden="false" customHeight="false" outlineLevel="0" collapsed="false">
      <c r="A64" s="87" t="s">
        <v>579</v>
      </c>
      <c r="B64" s="87" t="n">
        <v>60</v>
      </c>
      <c r="C64" s="87" t="s">
        <v>557</v>
      </c>
      <c r="D64" s="87" t="s">
        <v>451</v>
      </c>
      <c r="E64" s="87" t="s">
        <v>507</v>
      </c>
      <c r="F64" s="87" t="s">
        <v>488</v>
      </c>
      <c r="G64" s="87" t="s">
        <v>237</v>
      </c>
      <c r="H64" s="87" t="s">
        <v>237</v>
      </c>
      <c r="I64" s="87" t="s">
        <v>361</v>
      </c>
      <c r="J64" s="87"/>
      <c r="K64" s="87"/>
      <c r="L64" s="87"/>
      <c r="M64" s="87"/>
      <c r="N64" s="87" t="s">
        <v>461</v>
      </c>
      <c r="O64" s="87" t="s">
        <v>510</v>
      </c>
    </row>
    <row r="65" customFormat="false" ht="22.35" hidden="false" customHeight="false" outlineLevel="0" collapsed="false">
      <c r="A65" s="87" t="s">
        <v>580</v>
      </c>
      <c r="B65" s="87" t="n">
        <v>61</v>
      </c>
      <c r="C65" s="87" t="s">
        <v>581</v>
      </c>
      <c r="D65" s="87" t="s">
        <v>456</v>
      </c>
      <c r="E65" s="87" t="s">
        <v>582</v>
      </c>
      <c r="F65" s="87" t="s">
        <v>431</v>
      </c>
      <c r="G65" s="87" t="s">
        <v>237</v>
      </c>
      <c r="H65" s="87" t="s">
        <v>361</v>
      </c>
      <c r="I65" s="87" t="s">
        <v>237</v>
      </c>
      <c r="J65" s="87"/>
      <c r="K65" s="87"/>
      <c r="L65" s="87"/>
      <c r="M65" s="87"/>
      <c r="N65" s="87" t="s">
        <v>583</v>
      </c>
      <c r="O65" s="87" t="s">
        <v>435</v>
      </c>
    </row>
    <row r="66" customFormat="false" ht="32.8" hidden="false" customHeight="false" outlineLevel="0" collapsed="false">
      <c r="A66" s="87" t="s">
        <v>584</v>
      </c>
      <c r="B66" s="87" t="n">
        <v>62</v>
      </c>
      <c r="C66" s="87" t="s">
        <v>581</v>
      </c>
      <c r="D66" s="87" t="s">
        <v>456</v>
      </c>
      <c r="E66" s="87" t="s">
        <v>585</v>
      </c>
      <c r="F66" s="87" t="s">
        <v>431</v>
      </c>
      <c r="G66" s="87" t="s">
        <v>361</v>
      </c>
      <c r="H66" s="87" t="s">
        <v>361</v>
      </c>
      <c r="I66" s="87" t="s">
        <v>361</v>
      </c>
      <c r="J66" s="87"/>
      <c r="K66" s="87"/>
      <c r="L66" s="87"/>
      <c r="M66" s="87"/>
      <c r="N66" s="87" t="s">
        <v>586</v>
      </c>
      <c r="O66" s="87" t="s">
        <v>440</v>
      </c>
    </row>
    <row r="67" customFormat="false" ht="32.8" hidden="false" customHeight="false" outlineLevel="0" collapsed="false">
      <c r="A67" s="87" t="s">
        <v>587</v>
      </c>
      <c r="B67" s="87" t="n">
        <v>63</v>
      </c>
      <c r="C67" s="87" t="s">
        <v>581</v>
      </c>
      <c r="D67" s="87" t="s">
        <v>456</v>
      </c>
      <c r="E67" s="87" t="s">
        <v>588</v>
      </c>
      <c r="F67" s="87" t="s">
        <v>431</v>
      </c>
      <c r="G67" s="87" t="s">
        <v>361</v>
      </c>
      <c r="H67" s="87" t="s">
        <v>361</v>
      </c>
      <c r="I67" s="87" t="s">
        <v>361</v>
      </c>
      <c r="J67" s="87"/>
      <c r="K67" s="87"/>
      <c r="L67" s="87"/>
      <c r="M67" s="87"/>
      <c r="N67" s="87" t="s">
        <v>589</v>
      </c>
      <c r="O67" s="87" t="s">
        <v>440</v>
      </c>
    </row>
    <row r="68" customFormat="false" ht="32.8" hidden="false" customHeight="false" outlineLevel="0" collapsed="false">
      <c r="A68" s="87" t="s">
        <v>590</v>
      </c>
      <c r="B68" s="87" t="n">
        <v>64</v>
      </c>
      <c r="C68" s="87" t="s">
        <v>581</v>
      </c>
      <c r="D68" s="87" t="s">
        <v>456</v>
      </c>
      <c r="E68" s="87" t="s">
        <v>591</v>
      </c>
      <c r="F68" s="87" t="s">
        <v>431</v>
      </c>
      <c r="G68" s="87" t="s">
        <v>361</v>
      </c>
      <c r="H68" s="87" t="s">
        <v>361</v>
      </c>
      <c r="I68" s="87" t="s">
        <v>361</v>
      </c>
      <c r="J68" s="87"/>
      <c r="K68" s="87"/>
      <c r="L68" s="87"/>
      <c r="M68" s="87"/>
      <c r="N68" s="87" t="s">
        <v>592</v>
      </c>
      <c r="O68" s="87" t="s">
        <v>440</v>
      </c>
    </row>
    <row r="69" customFormat="false" ht="32.8" hidden="false" customHeight="false" outlineLevel="0" collapsed="false">
      <c r="A69" s="87" t="s">
        <v>593</v>
      </c>
      <c r="B69" s="87" t="n">
        <v>65</v>
      </c>
      <c r="C69" s="87" t="s">
        <v>581</v>
      </c>
      <c r="D69" s="87" t="s">
        <v>456</v>
      </c>
      <c r="E69" s="87" t="s">
        <v>594</v>
      </c>
      <c r="F69" s="87" t="s">
        <v>431</v>
      </c>
      <c r="G69" s="87" t="s">
        <v>361</v>
      </c>
      <c r="H69" s="87" t="s">
        <v>361</v>
      </c>
      <c r="I69" s="87" t="s">
        <v>361</v>
      </c>
      <c r="J69" s="87"/>
      <c r="K69" s="87"/>
      <c r="L69" s="87"/>
      <c r="M69" s="87"/>
      <c r="N69" s="87" t="s">
        <v>595</v>
      </c>
      <c r="O69" s="87" t="s">
        <v>440</v>
      </c>
    </row>
    <row r="70" customFormat="false" ht="22.35" hidden="false" customHeight="false" outlineLevel="0" collapsed="false">
      <c r="A70" s="87" t="s">
        <v>596</v>
      </c>
      <c r="B70" s="87" t="n">
        <v>66</v>
      </c>
      <c r="C70" s="87" t="s">
        <v>581</v>
      </c>
      <c r="D70" s="87" t="s">
        <v>456</v>
      </c>
      <c r="E70" s="87" t="s">
        <v>386</v>
      </c>
      <c r="F70" s="87" t="s">
        <v>458</v>
      </c>
      <c r="G70" s="87" t="s">
        <v>237</v>
      </c>
      <c r="H70" s="87" t="s">
        <v>237</v>
      </c>
      <c r="I70" s="87" t="s">
        <v>237</v>
      </c>
      <c r="J70" s="87"/>
      <c r="K70" s="87"/>
      <c r="L70" s="87"/>
      <c r="M70" s="87"/>
      <c r="N70" s="87" t="s">
        <v>461</v>
      </c>
      <c r="O70" s="87" t="s">
        <v>435</v>
      </c>
    </row>
    <row r="71" customFormat="false" ht="22.35" hidden="false" customHeight="false" outlineLevel="0" collapsed="false">
      <c r="A71" s="87" t="s">
        <v>597</v>
      </c>
      <c r="B71" s="87" t="n">
        <v>67</v>
      </c>
      <c r="C71" s="87" t="s">
        <v>581</v>
      </c>
      <c r="D71" s="87" t="s">
        <v>456</v>
      </c>
      <c r="E71" s="87" t="s">
        <v>464</v>
      </c>
      <c r="F71" s="87" t="s">
        <v>458</v>
      </c>
      <c r="G71" s="87" t="s">
        <v>237</v>
      </c>
      <c r="H71" s="87" t="s">
        <v>361</v>
      </c>
      <c r="I71" s="87" t="s">
        <v>237</v>
      </c>
      <c r="J71" s="87"/>
      <c r="K71" s="87"/>
      <c r="L71" s="87"/>
      <c r="M71" s="87"/>
      <c r="N71" s="87" t="s">
        <v>467</v>
      </c>
      <c r="O71" s="87" t="s">
        <v>435</v>
      </c>
    </row>
    <row r="72" customFormat="false" ht="32.8" hidden="false" customHeight="false" outlineLevel="0" collapsed="false">
      <c r="A72" s="87" t="s">
        <v>598</v>
      </c>
      <c r="B72" s="87" t="n">
        <v>68</v>
      </c>
      <c r="C72" s="87" t="s">
        <v>581</v>
      </c>
      <c r="D72" s="87" t="s">
        <v>456</v>
      </c>
      <c r="E72" s="87" t="s">
        <v>470</v>
      </c>
      <c r="F72" s="87" t="s">
        <v>458</v>
      </c>
      <c r="G72" s="87" t="s">
        <v>361</v>
      </c>
      <c r="H72" s="87" t="s">
        <v>361</v>
      </c>
      <c r="I72" s="87" t="s">
        <v>361</v>
      </c>
      <c r="J72" s="87"/>
      <c r="K72" s="87"/>
      <c r="L72" s="87"/>
      <c r="M72" s="87"/>
      <c r="N72" s="87" t="s">
        <v>473</v>
      </c>
      <c r="O72" s="87" t="s">
        <v>480</v>
      </c>
    </row>
    <row r="73" customFormat="false" ht="43.25" hidden="false" customHeight="false" outlineLevel="0" collapsed="false">
      <c r="A73" s="87" t="s">
        <v>599</v>
      </c>
      <c r="B73" s="87" t="n">
        <v>69</v>
      </c>
      <c r="C73" s="87" t="s">
        <v>581</v>
      </c>
      <c r="D73" s="87" t="s">
        <v>456</v>
      </c>
      <c r="E73" s="87" t="s">
        <v>476</v>
      </c>
      <c r="F73" s="87" t="s">
        <v>458</v>
      </c>
      <c r="G73" s="87" t="s">
        <v>361</v>
      </c>
      <c r="H73" s="87" t="s">
        <v>361</v>
      </c>
      <c r="I73" s="87" t="s">
        <v>361</v>
      </c>
      <c r="J73" s="87"/>
      <c r="K73" s="87"/>
      <c r="L73" s="87"/>
      <c r="M73" s="87"/>
      <c r="N73" s="87" t="s">
        <v>479</v>
      </c>
      <c r="O73" s="87" t="s">
        <v>480</v>
      </c>
    </row>
    <row r="74" customFormat="false" ht="32.8" hidden="false" customHeight="false" outlineLevel="0" collapsed="false">
      <c r="A74" s="87" t="s">
        <v>600</v>
      </c>
      <c r="B74" s="87" t="n">
        <v>70</v>
      </c>
      <c r="C74" s="87" t="s">
        <v>581</v>
      </c>
      <c r="D74" s="87" t="s">
        <v>456</v>
      </c>
      <c r="E74" s="87" t="s">
        <v>483</v>
      </c>
      <c r="F74" s="87" t="s">
        <v>458</v>
      </c>
      <c r="G74" s="87" t="s">
        <v>237</v>
      </c>
      <c r="H74" s="87" t="s">
        <v>361</v>
      </c>
      <c r="I74" s="87" t="s">
        <v>237</v>
      </c>
      <c r="J74" s="87"/>
      <c r="K74" s="87"/>
      <c r="L74" s="87"/>
      <c r="M74" s="87"/>
      <c r="N74" s="87" t="s">
        <v>485</v>
      </c>
      <c r="O74" s="87" t="s">
        <v>435</v>
      </c>
    </row>
    <row r="75" customFormat="false" ht="22.35" hidden="false" customHeight="false" outlineLevel="0" collapsed="false">
      <c r="A75" s="87" t="s">
        <v>601</v>
      </c>
      <c r="B75" s="87" t="n">
        <v>71</v>
      </c>
      <c r="C75" s="87" t="s">
        <v>581</v>
      </c>
      <c r="D75" s="87" t="s">
        <v>456</v>
      </c>
      <c r="E75" s="87" t="s">
        <v>602</v>
      </c>
      <c r="F75" s="87" t="s">
        <v>488</v>
      </c>
      <c r="G75" s="87" t="s">
        <v>237</v>
      </c>
      <c r="H75" s="87" t="s">
        <v>237</v>
      </c>
      <c r="I75" s="87" t="s">
        <v>237</v>
      </c>
      <c r="J75" s="87"/>
      <c r="K75" s="87"/>
      <c r="L75" s="87"/>
      <c r="M75" s="87"/>
      <c r="N75" s="87" t="s">
        <v>461</v>
      </c>
      <c r="O75" s="87" t="s">
        <v>435</v>
      </c>
    </row>
    <row r="76" customFormat="false" ht="22.35" hidden="false" customHeight="false" outlineLevel="0" collapsed="false">
      <c r="A76" s="87" t="s">
        <v>603</v>
      </c>
      <c r="B76" s="87" t="n">
        <v>72</v>
      </c>
      <c r="C76" s="87" t="s">
        <v>581</v>
      </c>
      <c r="D76" s="87" t="s">
        <v>456</v>
      </c>
      <c r="E76" s="87" t="s">
        <v>493</v>
      </c>
      <c r="F76" s="87" t="s">
        <v>488</v>
      </c>
      <c r="G76" s="87" t="s">
        <v>361</v>
      </c>
      <c r="H76" s="87" t="s">
        <v>237</v>
      </c>
      <c r="I76" s="87" t="s">
        <v>361</v>
      </c>
      <c r="J76" s="87"/>
      <c r="K76" s="87"/>
      <c r="L76" s="87"/>
      <c r="M76" s="87"/>
      <c r="N76" s="87" t="s">
        <v>461</v>
      </c>
      <c r="O76" s="87" t="s">
        <v>440</v>
      </c>
    </row>
    <row r="77" customFormat="false" ht="22.35" hidden="false" customHeight="false" outlineLevel="0" collapsed="false">
      <c r="A77" s="87" t="s">
        <v>604</v>
      </c>
      <c r="B77" s="87" t="n">
        <v>73</v>
      </c>
      <c r="C77" s="87" t="s">
        <v>581</v>
      </c>
      <c r="D77" s="87" t="s">
        <v>456</v>
      </c>
      <c r="E77" s="87" t="s">
        <v>497</v>
      </c>
      <c r="F77" s="87" t="s">
        <v>488</v>
      </c>
      <c r="G77" s="87" t="s">
        <v>237</v>
      </c>
      <c r="H77" s="87" t="s">
        <v>237</v>
      </c>
      <c r="I77" s="87" t="s">
        <v>237</v>
      </c>
      <c r="J77" s="87"/>
      <c r="K77" s="87"/>
      <c r="L77" s="87"/>
      <c r="M77" s="87"/>
      <c r="N77" s="87" t="s">
        <v>461</v>
      </c>
      <c r="O77" s="87" t="s">
        <v>435</v>
      </c>
    </row>
    <row r="78" customFormat="false" ht="32.8" hidden="false" customHeight="false" outlineLevel="0" collapsed="false">
      <c r="A78" s="87" t="s">
        <v>605</v>
      </c>
      <c r="B78" s="87" t="n">
        <v>74</v>
      </c>
      <c r="C78" s="87" t="s">
        <v>581</v>
      </c>
      <c r="D78" s="87" t="s">
        <v>456</v>
      </c>
      <c r="E78" s="87" t="s">
        <v>501</v>
      </c>
      <c r="F78" s="87" t="s">
        <v>488</v>
      </c>
      <c r="G78" s="87" t="s">
        <v>237</v>
      </c>
      <c r="H78" s="87" t="s">
        <v>361</v>
      </c>
      <c r="I78" s="87" t="s">
        <v>361</v>
      </c>
      <c r="J78" s="87"/>
      <c r="K78" s="87"/>
      <c r="L78" s="87"/>
      <c r="M78" s="87"/>
      <c r="N78" s="87" t="s">
        <v>504</v>
      </c>
      <c r="O78" s="87" t="s">
        <v>505</v>
      </c>
    </row>
    <row r="79" customFormat="false" ht="22.35" hidden="false" customHeight="false" outlineLevel="0" collapsed="false">
      <c r="A79" s="87" t="s">
        <v>606</v>
      </c>
      <c r="B79" s="87" t="n">
        <v>75</v>
      </c>
      <c r="C79" s="87" t="s">
        <v>581</v>
      </c>
      <c r="D79" s="87" t="s">
        <v>456</v>
      </c>
      <c r="E79" s="87" t="s">
        <v>507</v>
      </c>
      <c r="F79" s="87" t="s">
        <v>488</v>
      </c>
      <c r="G79" s="87" t="s">
        <v>237</v>
      </c>
      <c r="H79" s="87" t="s">
        <v>237</v>
      </c>
      <c r="I79" s="87" t="s">
        <v>361</v>
      </c>
      <c r="J79" s="87"/>
      <c r="K79" s="87"/>
      <c r="L79" s="87"/>
      <c r="M79" s="87"/>
      <c r="N79" s="87" t="s">
        <v>461</v>
      </c>
      <c r="O79" s="87" t="s">
        <v>510</v>
      </c>
    </row>
    <row r="80" customFormat="false" ht="32.8" hidden="false" customHeight="false" outlineLevel="0" collapsed="false">
      <c r="A80" s="87" t="s">
        <v>607</v>
      </c>
      <c r="B80" s="87" t="n">
        <v>76</v>
      </c>
      <c r="C80" s="87" t="s">
        <v>608</v>
      </c>
      <c r="D80" s="87" t="s">
        <v>462</v>
      </c>
      <c r="E80" s="87" t="s">
        <v>609</v>
      </c>
      <c r="F80" s="87" t="s">
        <v>431</v>
      </c>
      <c r="G80" s="87" t="s">
        <v>237</v>
      </c>
      <c r="H80" s="87" t="s">
        <v>361</v>
      </c>
      <c r="I80" s="87" t="s">
        <v>237</v>
      </c>
      <c r="J80" s="87"/>
      <c r="K80" s="87"/>
      <c r="L80" s="87"/>
      <c r="M80" s="87"/>
      <c r="N80" s="87" t="s">
        <v>610</v>
      </c>
      <c r="O80" s="87" t="s">
        <v>435</v>
      </c>
    </row>
    <row r="81" customFormat="false" ht="32.8" hidden="false" customHeight="false" outlineLevel="0" collapsed="false">
      <c r="A81" s="87" t="s">
        <v>611</v>
      </c>
      <c r="B81" s="87" t="n">
        <v>77</v>
      </c>
      <c r="C81" s="87" t="s">
        <v>608</v>
      </c>
      <c r="D81" s="87" t="s">
        <v>462</v>
      </c>
      <c r="E81" s="87" t="s">
        <v>612</v>
      </c>
      <c r="F81" s="87" t="s">
        <v>431</v>
      </c>
      <c r="G81" s="87" t="s">
        <v>361</v>
      </c>
      <c r="H81" s="87" t="s">
        <v>361</v>
      </c>
      <c r="I81" s="87" t="s">
        <v>361</v>
      </c>
      <c r="J81" s="87"/>
      <c r="K81" s="87"/>
      <c r="L81" s="87"/>
      <c r="M81" s="87"/>
      <c r="N81" s="87" t="s">
        <v>613</v>
      </c>
      <c r="O81" s="87" t="s">
        <v>440</v>
      </c>
    </row>
    <row r="82" customFormat="false" ht="43.25" hidden="false" customHeight="false" outlineLevel="0" collapsed="false">
      <c r="A82" s="87" t="s">
        <v>614</v>
      </c>
      <c r="B82" s="87" t="n">
        <v>78</v>
      </c>
      <c r="C82" s="87" t="s">
        <v>608</v>
      </c>
      <c r="D82" s="87" t="s">
        <v>462</v>
      </c>
      <c r="E82" s="87" t="s">
        <v>615</v>
      </c>
      <c r="F82" s="87" t="s">
        <v>431</v>
      </c>
      <c r="G82" s="87" t="s">
        <v>237</v>
      </c>
      <c r="H82" s="87" t="s">
        <v>361</v>
      </c>
      <c r="I82" s="87" t="s">
        <v>237</v>
      </c>
      <c r="J82" s="87"/>
      <c r="K82" s="87"/>
      <c r="L82" s="87"/>
      <c r="M82" s="87"/>
      <c r="N82" s="87" t="s">
        <v>616</v>
      </c>
      <c r="O82" s="87" t="s">
        <v>435</v>
      </c>
    </row>
    <row r="83" customFormat="false" ht="22.35" hidden="false" customHeight="false" outlineLevel="0" collapsed="false">
      <c r="A83" s="87" t="s">
        <v>617</v>
      </c>
      <c r="B83" s="87" t="n">
        <v>79</v>
      </c>
      <c r="C83" s="87" t="s">
        <v>608</v>
      </c>
      <c r="D83" s="87" t="s">
        <v>462</v>
      </c>
      <c r="E83" s="87" t="s">
        <v>618</v>
      </c>
      <c r="F83" s="87" t="s">
        <v>431</v>
      </c>
      <c r="G83" s="87" t="s">
        <v>237</v>
      </c>
      <c r="H83" s="87" t="s">
        <v>237</v>
      </c>
      <c r="I83" s="87" t="s">
        <v>237</v>
      </c>
      <c r="J83" s="87"/>
      <c r="K83" s="87"/>
      <c r="L83" s="87"/>
      <c r="M83" s="87"/>
      <c r="N83" s="87" t="s">
        <v>461</v>
      </c>
      <c r="O83" s="87" t="s">
        <v>435</v>
      </c>
    </row>
    <row r="84" customFormat="false" ht="43.25" hidden="false" customHeight="false" outlineLevel="0" collapsed="false">
      <c r="A84" s="87" t="s">
        <v>619</v>
      </c>
      <c r="B84" s="87" t="n">
        <v>80</v>
      </c>
      <c r="C84" s="87" t="s">
        <v>608</v>
      </c>
      <c r="D84" s="87" t="s">
        <v>462</v>
      </c>
      <c r="E84" s="87" t="s">
        <v>620</v>
      </c>
      <c r="F84" s="87" t="s">
        <v>431</v>
      </c>
      <c r="G84" s="87" t="s">
        <v>361</v>
      </c>
      <c r="H84" s="87" t="s">
        <v>361</v>
      </c>
      <c r="I84" s="87" t="s">
        <v>361</v>
      </c>
      <c r="J84" s="87"/>
      <c r="K84" s="87"/>
      <c r="L84" s="87"/>
      <c r="M84" s="87"/>
      <c r="N84" s="87" t="s">
        <v>621</v>
      </c>
      <c r="O84" s="87" t="s">
        <v>440</v>
      </c>
    </row>
    <row r="85" customFormat="false" ht="22.35" hidden="false" customHeight="false" outlineLevel="0" collapsed="false">
      <c r="A85" s="87" t="s">
        <v>622</v>
      </c>
      <c r="B85" s="87" t="n">
        <v>81</v>
      </c>
      <c r="C85" s="87" t="s">
        <v>608</v>
      </c>
      <c r="D85" s="87" t="s">
        <v>462</v>
      </c>
      <c r="E85" s="87" t="s">
        <v>623</v>
      </c>
      <c r="F85" s="87" t="s">
        <v>458</v>
      </c>
      <c r="G85" s="87" t="s">
        <v>237</v>
      </c>
      <c r="H85" s="87" t="s">
        <v>237</v>
      </c>
      <c r="I85" s="87" t="s">
        <v>237</v>
      </c>
      <c r="J85" s="87"/>
      <c r="K85" s="87"/>
      <c r="L85" s="87"/>
      <c r="M85" s="87"/>
      <c r="N85" s="87" t="s">
        <v>461</v>
      </c>
      <c r="O85" s="87" t="s">
        <v>435</v>
      </c>
    </row>
    <row r="86" customFormat="false" ht="22.35" hidden="false" customHeight="false" outlineLevel="0" collapsed="false">
      <c r="A86" s="87" t="s">
        <v>624</v>
      </c>
      <c r="B86" s="87" t="n">
        <v>82</v>
      </c>
      <c r="C86" s="87" t="s">
        <v>608</v>
      </c>
      <c r="D86" s="87" t="s">
        <v>462</v>
      </c>
      <c r="E86" s="87" t="s">
        <v>625</v>
      </c>
      <c r="F86" s="87" t="s">
        <v>458</v>
      </c>
      <c r="G86" s="87" t="s">
        <v>237</v>
      </c>
      <c r="H86" s="87" t="s">
        <v>361</v>
      </c>
      <c r="I86" s="87" t="s">
        <v>237</v>
      </c>
      <c r="J86" s="87"/>
      <c r="K86" s="87"/>
      <c r="L86" s="87"/>
      <c r="M86" s="87"/>
      <c r="N86" s="87" t="s">
        <v>626</v>
      </c>
      <c r="O86" s="87" t="s">
        <v>435</v>
      </c>
    </row>
    <row r="87" customFormat="false" ht="22.35" hidden="false" customHeight="false" outlineLevel="0" collapsed="false">
      <c r="A87" s="87" t="s">
        <v>627</v>
      </c>
      <c r="B87" s="87" t="n">
        <v>83</v>
      </c>
      <c r="C87" s="87" t="s">
        <v>608</v>
      </c>
      <c r="D87" s="87" t="s">
        <v>462</v>
      </c>
      <c r="E87" s="87" t="s">
        <v>628</v>
      </c>
      <c r="F87" s="87" t="s">
        <v>458</v>
      </c>
      <c r="G87" s="87" t="s">
        <v>237</v>
      </c>
      <c r="H87" s="87" t="s">
        <v>361</v>
      </c>
      <c r="I87" s="87" t="s">
        <v>237</v>
      </c>
      <c r="J87" s="87"/>
      <c r="K87" s="87"/>
      <c r="L87" s="87"/>
      <c r="M87" s="87"/>
      <c r="N87" s="87" t="s">
        <v>629</v>
      </c>
      <c r="O87" s="87" t="s">
        <v>435</v>
      </c>
    </row>
    <row r="88" customFormat="false" ht="22.35" hidden="false" customHeight="false" outlineLevel="0" collapsed="false">
      <c r="A88" s="87" t="s">
        <v>630</v>
      </c>
      <c r="B88" s="87" t="n">
        <v>84</v>
      </c>
      <c r="C88" s="87" t="s">
        <v>608</v>
      </c>
      <c r="D88" s="87" t="s">
        <v>462</v>
      </c>
      <c r="E88" s="87" t="s">
        <v>464</v>
      </c>
      <c r="F88" s="87" t="s">
        <v>458</v>
      </c>
      <c r="G88" s="87" t="s">
        <v>237</v>
      </c>
      <c r="H88" s="87" t="s">
        <v>361</v>
      </c>
      <c r="I88" s="87" t="s">
        <v>237</v>
      </c>
      <c r="J88" s="87"/>
      <c r="K88" s="87"/>
      <c r="L88" s="87"/>
      <c r="M88" s="87"/>
      <c r="N88" s="87" t="s">
        <v>467</v>
      </c>
      <c r="O88" s="87" t="s">
        <v>435</v>
      </c>
    </row>
    <row r="89" customFormat="false" ht="32.8" hidden="false" customHeight="false" outlineLevel="0" collapsed="false">
      <c r="A89" s="87" t="s">
        <v>631</v>
      </c>
      <c r="B89" s="87" t="n">
        <v>85</v>
      </c>
      <c r="C89" s="87" t="s">
        <v>608</v>
      </c>
      <c r="D89" s="87" t="s">
        <v>462</v>
      </c>
      <c r="E89" s="87" t="s">
        <v>632</v>
      </c>
      <c r="F89" s="87" t="s">
        <v>458</v>
      </c>
      <c r="G89" s="87" t="s">
        <v>361</v>
      </c>
      <c r="H89" s="87" t="s">
        <v>361</v>
      </c>
      <c r="I89" s="87" t="s">
        <v>361</v>
      </c>
      <c r="J89" s="87"/>
      <c r="K89" s="87"/>
      <c r="L89" s="87"/>
      <c r="M89" s="87"/>
      <c r="N89" s="87" t="s">
        <v>633</v>
      </c>
      <c r="O89" s="87" t="s">
        <v>480</v>
      </c>
    </row>
    <row r="90" customFormat="false" ht="22.35" hidden="false" customHeight="false" outlineLevel="0" collapsed="false">
      <c r="A90" s="87" t="s">
        <v>634</v>
      </c>
      <c r="B90" s="87" t="n">
        <v>86</v>
      </c>
      <c r="C90" s="87" t="s">
        <v>608</v>
      </c>
      <c r="D90" s="87" t="s">
        <v>462</v>
      </c>
      <c r="E90" s="87" t="s">
        <v>635</v>
      </c>
      <c r="F90" s="87" t="s">
        <v>488</v>
      </c>
      <c r="G90" s="87" t="s">
        <v>237</v>
      </c>
      <c r="H90" s="87" t="s">
        <v>237</v>
      </c>
      <c r="I90" s="87" t="s">
        <v>237</v>
      </c>
      <c r="J90" s="87"/>
      <c r="K90" s="87"/>
      <c r="L90" s="87"/>
      <c r="M90" s="87"/>
      <c r="N90" s="87" t="s">
        <v>461</v>
      </c>
      <c r="O90" s="87" t="s">
        <v>435</v>
      </c>
    </row>
    <row r="91" customFormat="false" ht="22.35" hidden="false" customHeight="false" outlineLevel="0" collapsed="false">
      <c r="A91" s="87" t="s">
        <v>636</v>
      </c>
      <c r="B91" s="87" t="n">
        <v>87</v>
      </c>
      <c r="C91" s="87" t="s">
        <v>608</v>
      </c>
      <c r="D91" s="87" t="s">
        <v>462</v>
      </c>
      <c r="E91" s="87" t="s">
        <v>493</v>
      </c>
      <c r="F91" s="87" t="s">
        <v>488</v>
      </c>
      <c r="G91" s="87" t="s">
        <v>361</v>
      </c>
      <c r="H91" s="87" t="s">
        <v>237</v>
      </c>
      <c r="I91" s="87" t="s">
        <v>361</v>
      </c>
      <c r="J91" s="87"/>
      <c r="K91" s="87"/>
      <c r="L91" s="87"/>
      <c r="M91" s="87"/>
      <c r="N91" s="87" t="s">
        <v>461</v>
      </c>
      <c r="O91" s="87" t="s">
        <v>440</v>
      </c>
    </row>
    <row r="92" customFormat="false" ht="22.35" hidden="false" customHeight="false" outlineLevel="0" collapsed="false">
      <c r="A92" s="87" t="s">
        <v>637</v>
      </c>
      <c r="B92" s="87" t="n">
        <v>88</v>
      </c>
      <c r="C92" s="87" t="s">
        <v>608</v>
      </c>
      <c r="D92" s="87" t="s">
        <v>462</v>
      </c>
      <c r="E92" s="87" t="s">
        <v>497</v>
      </c>
      <c r="F92" s="87" t="s">
        <v>488</v>
      </c>
      <c r="G92" s="87" t="s">
        <v>237</v>
      </c>
      <c r="H92" s="87" t="s">
        <v>237</v>
      </c>
      <c r="I92" s="87" t="s">
        <v>237</v>
      </c>
      <c r="J92" s="87"/>
      <c r="K92" s="87"/>
      <c r="L92" s="87"/>
      <c r="M92" s="87"/>
      <c r="N92" s="87" t="s">
        <v>461</v>
      </c>
      <c r="O92" s="87" t="s">
        <v>435</v>
      </c>
    </row>
    <row r="93" customFormat="false" ht="32.8" hidden="false" customHeight="false" outlineLevel="0" collapsed="false">
      <c r="A93" s="87" t="s">
        <v>638</v>
      </c>
      <c r="B93" s="87" t="n">
        <v>89</v>
      </c>
      <c r="C93" s="87" t="s">
        <v>608</v>
      </c>
      <c r="D93" s="87" t="s">
        <v>462</v>
      </c>
      <c r="E93" s="87" t="s">
        <v>501</v>
      </c>
      <c r="F93" s="87" t="s">
        <v>488</v>
      </c>
      <c r="G93" s="87" t="s">
        <v>237</v>
      </c>
      <c r="H93" s="87" t="s">
        <v>361</v>
      </c>
      <c r="I93" s="87" t="s">
        <v>361</v>
      </c>
      <c r="J93" s="87"/>
      <c r="K93" s="87"/>
      <c r="L93" s="87"/>
      <c r="M93" s="87"/>
      <c r="N93" s="87" t="s">
        <v>504</v>
      </c>
      <c r="O93" s="87" t="s">
        <v>505</v>
      </c>
    </row>
    <row r="94" customFormat="false" ht="22.35" hidden="false" customHeight="false" outlineLevel="0" collapsed="false">
      <c r="A94" s="87" t="s">
        <v>639</v>
      </c>
      <c r="B94" s="87" t="n">
        <v>90</v>
      </c>
      <c r="C94" s="87" t="s">
        <v>608</v>
      </c>
      <c r="D94" s="87" t="s">
        <v>462</v>
      </c>
      <c r="E94" s="87" t="s">
        <v>507</v>
      </c>
      <c r="F94" s="87" t="s">
        <v>488</v>
      </c>
      <c r="G94" s="87" t="s">
        <v>237</v>
      </c>
      <c r="H94" s="87" t="s">
        <v>237</v>
      </c>
      <c r="I94" s="87" t="s">
        <v>361</v>
      </c>
      <c r="J94" s="87"/>
      <c r="K94" s="87"/>
      <c r="L94" s="87"/>
      <c r="M94" s="87"/>
      <c r="N94" s="87" t="s">
        <v>461</v>
      </c>
      <c r="O94" s="87" t="s">
        <v>510</v>
      </c>
    </row>
    <row r="95" customFormat="false" ht="43.25" hidden="false" customHeight="false" outlineLevel="0" collapsed="false">
      <c r="A95" s="87" t="s">
        <v>640</v>
      </c>
      <c r="B95" s="87" t="n">
        <v>91</v>
      </c>
      <c r="C95" s="87" t="s">
        <v>641</v>
      </c>
      <c r="D95" s="87" t="s">
        <v>468</v>
      </c>
      <c r="E95" s="87" t="s">
        <v>642</v>
      </c>
      <c r="F95" s="87" t="s">
        <v>431</v>
      </c>
      <c r="G95" s="87" t="s">
        <v>237</v>
      </c>
      <c r="H95" s="87" t="s">
        <v>361</v>
      </c>
      <c r="I95" s="87" t="s">
        <v>237</v>
      </c>
      <c r="J95" s="87"/>
      <c r="K95" s="87"/>
      <c r="L95" s="87"/>
      <c r="M95" s="87"/>
      <c r="N95" s="87" t="s">
        <v>643</v>
      </c>
      <c r="O95" s="87" t="s">
        <v>435</v>
      </c>
    </row>
    <row r="96" customFormat="false" ht="32.8" hidden="false" customHeight="false" outlineLevel="0" collapsed="false">
      <c r="A96" s="87" t="s">
        <v>644</v>
      </c>
      <c r="B96" s="87" t="n">
        <v>92</v>
      </c>
      <c r="C96" s="87" t="s">
        <v>641</v>
      </c>
      <c r="D96" s="87" t="s">
        <v>468</v>
      </c>
      <c r="E96" s="87" t="s">
        <v>645</v>
      </c>
      <c r="F96" s="87" t="s">
        <v>431</v>
      </c>
      <c r="G96" s="87" t="s">
        <v>361</v>
      </c>
      <c r="H96" s="87" t="s">
        <v>361</v>
      </c>
      <c r="I96" s="87" t="s">
        <v>361</v>
      </c>
      <c r="J96" s="87"/>
      <c r="K96" s="87"/>
      <c r="L96" s="87"/>
      <c r="M96" s="87"/>
      <c r="N96" s="87" t="s">
        <v>439</v>
      </c>
      <c r="O96" s="87" t="s">
        <v>440</v>
      </c>
    </row>
    <row r="97" customFormat="false" ht="32.8" hidden="false" customHeight="false" outlineLevel="0" collapsed="false">
      <c r="A97" s="87" t="s">
        <v>646</v>
      </c>
      <c r="B97" s="87" t="n">
        <v>93</v>
      </c>
      <c r="C97" s="87" t="s">
        <v>641</v>
      </c>
      <c r="D97" s="87" t="s">
        <v>468</v>
      </c>
      <c r="E97" s="87" t="s">
        <v>647</v>
      </c>
      <c r="F97" s="87" t="s">
        <v>431</v>
      </c>
      <c r="G97" s="87" t="s">
        <v>361</v>
      </c>
      <c r="H97" s="87" t="s">
        <v>361</v>
      </c>
      <c r="I97" s="87" t="s">
        <v>361</v>
      </c>
      <c r="J97" s="87"/>
      <c r="K97" s="87"/>
      <c r="L97" s="87"/>
      <c r="M97" s="87"/>
      <c r="N97" s="87" t="s">
        <v>445</v>
      </c>
      <c r="O97" s="87" t="s">
        <v>440</v>
      </c>
    </row>
    <row r="98" customFormat="false" ht="22.35" hidden="false" customHeight="false" outlineLevel="0" collapsed="false">
      <c r="A98" s="87" t="s">
        <v>648</v>
      </c>
      <c r="B98" s="87" t="n">
        <v>94</v>
      </c>
      <c r="C98" s="87" t="s">
        <v>641</v>
      </c>
      <c r="D98" s="87" t="s">
        <v>468</v>
      </c>
      <c r="E98" s="87" t="s">
        <v>649</v>
      </c>
      <c r="F98" s="87" t="s">
        <v>431</v>
      </c>
      <c r="G98" s="87" t="s">
        <v>237</v>
      </c>
      <c r="H98" s="87" t="s">
        <v>237</v>
      </c>
      <c r="I98" s="87" t="s">
        <v>237</v>
      </c>
      <c r="J98" s="87"/>
      <c r="K98" s="87"/>
      <c r="L98" s="87"/>
      <c r="M98" s="87"/>
      <c r="N98" s="87" t="s">
        <v>461</v>
      </c>
      <c r="O98" s="87" t="s">
        <v>435</v>
      </c>
    </row>
    <row r="99" customFormat="false" ht="22.35" hidden="false" customHeight="false" outlineLevel="0" collapsed="false">
      <c r="A99" s="87" t="s">
        <v>650</v>
      </c>
      <c r="B99" s="87" t="n">
        <v>95</v>
      </c>
      <c r="C99" s="87" t="s">
        <v>641</v>
      </c>
      <c r="D99" s="87" t="s">
        <v>468</v>
      </c>
      <c r="E99" s="87" t="s">
        <v>651</v>
      </c>
      <c r="F99" s="87" t="s">
        <v>431</v>
      </c>
      <c r="G99" s="87" t="s">
        <v>237</v>
      </c>
      <c r="H99" s="87" t="s">
        <v>237</v>
      </c>
      <c r="I99" s="87" t="s">
        <v>237</v>
      </c>
      <c r="J99" s="87"/>
      <c r="K99" s="87"/>
      <c r="L99" s="87"/>
      <c r="M99" s="87"/>
      <c r="N99" s="87" t="s">
        <v>461</v>
      </c>
      <c r="O99" s="87" t="s">
        <v>435</v>
      </c>
    </row>
    <row r="100" customFormat="false" ht="22.35" hidden="false" customHeight="false" outlineLevel="0" collapsed="false">
      <c r="A100" s="87" t="s">
        <v>652</v>
      </c>
      <c r="B100" s="87" t="n">
        <v>96</v>
      </c>
      <c r="C100" s="87" t="s">
        <v>641</v>
      </c>
      <c r="D100" s="87" t="s">
        <v>468</v>
      </c>
      <c r="E100" s="87" t="s">
        <v>653</v>
      </c>
      <c r="F100" s="87" t="s">
        <v>458</v>
      </c>
      <c r="G100" s="87" t="s">
        <v>237</v>
      </c>
      <c r="H100" s="87" t="s">
        <v>237</v>
      </c>
      <c r="I100" s="87" t="s">
        <v>237</v>
      </c>
      <c r="J100" s="87"/>
      <c r="K100" s="87"/>
      <c r="L100" s="87"/>
      <c r="M100" s="87"/>
      <c r="N100" s="87" t="s">
        <v>461</v>
      </c>
      <c r="O100" s="87" t="s">
        <v>435</v>
      </c>
    </row>
    <row r="101" customFormat="false" ht="22.35" hidden="false" customHeight="false" outlineLevel="0" collapsed="false">
      <c r="A101" s="87" t="s">
        <v>654</v>
      </c>
      <c r="B101" s="87" t="n">
        <v>97</v>
      </c>
      <c r="C101" s="87" t="s">
        <v>641</v>
      </c>
      <c r="D101" s="87" t="s">
        <v>468</v>
      </c>
      <c r="E101" s="87" t="s">
        <v>464</v>
      </c>
      <c r="F101" s="87" t="s">
        <v>458</v>
      </c>
      <c r="G101" s="87" t="s">
        <v>237</v>
      </c>
      <c r="H101" s="87" t="s">
        <v>361</v>
      </c>
      <c r="I101" s="87" t="s">
        <v>237</v>
      </c>
      <c r="J101" s="87"/>
      <c r="K101" s="87"/>
      <c r="L101" s="87"/>
      <c r="M101" s="87"/>
      <c r="N101" s="87" t="s">
        <v>467</v>
      </c>
      <c r="O101" s="87" t="s">
        <v>435</v>
      </c>
    </row>
    <row r="102" customFormat="false" ht="43.25" hidden="false" customHeight="false" outlineLevel="0" collapsed="false">
      <c r="A102" s="87" t="s">
        <v>655</v>
      </c>
      <c r="B102" s="87" t="n">
        <v>98</v>
      </c>
      <c r="C102" s="87" t="s">
        <v>641</v>
      </c>
      <c r="D102" s="87" t="s">
        <v>468</v>
      </c>
      <c r="E102" s="87" t="s">
        <v>476</v>
      </c>
      <c r="F102" s="87" t="s">
        <v>458</v>
      </c>
      <c r="G102" s="87" t="s">
        <v>361</v>
      </c>
      <c r="H102" s="87" t="s">
        <v>361</v>
      </c>
      <c r="I102" s="87" t="s">
        <v>361</v>
      </c>
      <c r="J102" s="87"/>
      <c r="K102" s="87"/>
      <c r="L102" s="87"/>
      <c r="M102" s="87"/>
      <c r="N102" s="87" t="s">
        <v>479</v>
      </c>
      <c r="O102" s="87" t="s">
        <v>480</v>
      </c>
    </row>
    <row r="103" customFormat="false" ht="22.35" hidden="false" customHeight="false" outlineLevel="0" collapsed="false">
      <c r="A103" s="87" t="s">
        <v>656</v>
      </c>
      <c r="B103" s="87" t="n">
        <v>99</v>
      </c>
      <c r="C103" s="87" t="s">
        <v>641</v>
      </c>
      <c r="D103" s="87" t="s">
        <v>468</v>
      </c>
      <c r="E103" s="87" t="s">
        <v>657</v>
      </c>
      <c r="F103" s="87" t="s">
        <v>458</v>
      </c>
      <c r="G103" s="87" t="s">
        <v>237</v>
      </c>
      <c r="H103" s="87" t="s">
        <v>361</v>
      </c>
      <c r="I103" s="87" t="s">
        <v>237</v>
      </c>
      <c r="J103" s="87"/>
      <c r="K103" s="87"/>
      <c r="L103" s="87"/>
      <c r="M103" s="87"/>
      <c r="N103" s="87" t="s">
        <v>658</v>
      </c>
      <c r="O103" s="87" t="s">
        <v>435</v>
      </c>
    </row>
    <row r="104" customFormat="false" ht="32.8" hidden="false" customHeight="false" outlineLevel="0" collapsed="false">
      <c r="A104" s="87" t="s">
        <v>659</v>
      </c>
      <c r="B104" s="87" t="n">
        <v>100</v>
      </c>
      <c r="C104" s="87" t="s">
        <v>641</v>
      </c>
      <c r="D104" s="87" t="s">
        <v>468</v>
      </c>
      <c r="E104" s="87" t="s">
        <v>470</v>
      </c>
      <c r="F104" s="87" t="s">
        <v>458</v>
      </c>
      <c r="G104" s="87" t="s">
        <v>361</v>
      </c>
      <c r="H104" s="87" t="s">
        <v>361</v>
      </c>
      <c r="I104" s="87" t="s">
        <v>361</v>
      </c>
      <c r="J104" s="87"/>
      <c r="K104" s="87"/>
      <c r="L104" s="87"/>
      <c r="M104" s="87"/>
      <c r="N104" s="87" t="s">
        <v>473</v>
      </c>
      <c r="O104" s="87" t="s">
        <v>480</v>
      </c>
    </row>
    <row r="105" customFormat="false" ht="22.35" hidden="false" customHeight="false" outlineLevel="0" collapsed="false">
      <c r="A105" s="87" t="s">
        <v>660</v>
      </c>
      <c r="B105" s="87" t="n">
        <v>101</v>
      </c>
      <c r="C105" s="87" t="s">
        <v>641</v>
      </c>
      <c r="D105" s="87" t="s">
        <v>468</v>
      </c>
      <c r="E105" s="87" t="s">
        <v>661</v>
      </c>
      <c r="F105" s="87" t="s">
        <v>488</v>
      </c>
      <c r="G105" s="87" t="s">
        <v>237</v>
      </c>
      <c r="H105" s="87" t="s">
        <v>237</v>
      </c>
      <c r="I105" s="87" t="s">
        <v>237</v>
      </c>
      <c r="J105" s="87"/>
      <c r="K105" s="87"/>
      <c r="L105" s="87"/>
      <c r="M105" s="87"/>
      <c r="N105" s="87" t="s">
        <v>461</v>
      </c>
      <c r="O105" s="87" t="s">
        <v>435</v>
      </c>
    </row>
    <row r="106" customFormat="false" ht="22.35" hidden="false" customHeight="false" outlineLevel="0" collapsed="false">
      <c r="A106" s="87" t="s">
        <v>662</v>
      </c>
      <c r="B106" s="87" t="n">
        <v>102</v>
      </c>
      <c r="C106" s="87" t="s">
        <v>641</v>
      </c>
      <c r="D106" s="87" t="s">
        <v>468</v>
      </c>
      <c r="E106" s="87" t="s">
        <v>493</v>
      </c>
      <c r="F106" s="87" t="s">
        <v>488</v>
      </c>
      <c r="G106" s="87" t="s">
        <v>361</v>
      </c>
      <c r="H106" s="87" t="s">
        <v>237</v>
      </c>
      <c r="I106" s="87" t="s">
        <v>361</v>
      </c>
      <c r="J106" s="87"/>
      <c r="K106" s="87"/>
      <c r="L106" s="87"/>
      <c r="M106" s="87"/>
      <c r="N106" s="87" t="s">
        <v>461</v>
      </c>
      <c r="O106" s="87" t="s">
        <v>440</v>
      </c>
    </row>
    <row r="107" customFormat="false" ht="22.35" hidden="false" customHeight="false" outlineLevel="0" collapsed="false">
      <c r="A107" s="87" t="s">
        <v>663</v>
      </c>
      <c r="B107" s="87" t="n">
        <v>103</v>
      </c>
      <c r="C107" s="87" t="s">
        <v>641</v>
      </c>
      <c r="D107" s="87" t="s">
        <v>468</v>
      </c>
      <c r="E107" s="87" t="s">
        <v>497</v>
      </c>
      <c r="F107" s="87" t="s">
        <v>488</v>
      </c>
      <c r="G107" s="87" t="s">
        <v>237</v>
      </c>
      <c r="H107" s="87" t="s">
        <v>237</v>
      </c>
      <c r="I107" s="87" t="s">
        <v>237</v>
      </c>
      <c r="J107" s="87"/>
      <c r="K107" s="87"/>
      <c r="L107" s="87"/>
      <c r="M107" s="87"/>
      <c r="N107" s="87" t="s">
        <v>461</v>
      </c>
      <c r="O107" s="87" t="s">
        <v>435</v>
      </c>
    </row>
    <row r="108" customFormat="false" ht="32.8" hidden="false" customHeight="false" outlineLevel="0" collapsed="false">
      <c r="A108" s="87" t="s">
        <v>664</v>
      </c>
      <c r="B108" s="87" t="n">
        <v>104</v>
      </c>
      <c r="C108" s="87" t="s">
        <v>641</v>
      </c>
      <c r="D108" s="87" t="s">
        <v>468</v>
      </c>
      <c r="E108" s="87" t="s">
        <v>501</v>
      </c>
      <c r="F108" s="87" t="s">
        <v>488</v>
      </c>
      <c r="G108" s="87" t="s">
        <v>237</v>
      </c>
      <c r="H108" s="87" t="s">
        <v>361</v>
      </c>
      <c r="I108" s="87" t="s">
        <v>361</v>
      </c>
      <c r="J108" s="87"/>
      <c r="K108" s="87"/>
      <c r="L108" s="87"/>
      <c r="M108" s="87"/>
      <c r="N108" s="87" t="s">
        <v>504</v>
      </c>
      <c r="O108" s="87" t="s">
        <v>505</v>
      </c>
    </row>
    <row r="109" customFormat="false" ht="22.35" hidden="false" customHeight="false" outlineLevel="0" collapsed="false">
      <c r="A109" s="87" t="s">
        <v>665</v>
      </c>
      <c r="B109" s="87" t="n">
        <v>105</v>
      </c>
      <c r="C109" s="87" t="s">
        <v>641</v>
      </c>
      <c r="D109" s="87" t="s">
        <v>468</v>
      </c>
      <c r="E109" s="87" t="s">
        <v>507</v>
      </c>
      <c r="F109" s="87" t="s">
        <v>488</v>
      </c>
      <c r="G109" s="87" t="s">
        <v>237</v>
      </c>
      <c r="H109" s="87" t="s">
        <v>237</v>
      </c>
      <c r="I109" s="87" t="s">
        <v>361</v>
      </c>
      <c r="J109" s="87"/>
      <c r="K109" s="87"/>
      <c r="L109" s="87"/>
      <c r="M109" s="87"/>
      <c r="N109" s="87" t="s">
        <v>461</v>
      </c>
      <c r="O109" s="87" t="s">
        <v>510</v>
      </c>
    </row>
    <row r="110" customFormat="false" ht="22.35" hidden="false" customHeight="false" outlineLevel="0" collapsed="false">
      <c r="A110" s="87" t="s">
        <v>666</v>
      </c>
      <c r="B110" s="87" t="n">
        <v>106</v>
      </c>
      <c r="C110" s="87" t="s">
        <v>667</v>
      </c>
      <c r="D110" s="87" t="s">
        <v>474</v>
      </c>
      <c r="E110" s="87" t="s">
        <v>668</v>
      </c>
      <c r="F110" s="87" t="s">
        <v>431</v>
      </c>
      <c r="G110" s="87" t="s">
        <v>361</v>
      </c>
      <c r="H110" s="87" t="s">
        <v>237</v>
      </c>
      <c r="I110" s="87" t="s">
        <v>361</v>
      </c>
      <c r="J110" s="87"/>
      <c r="K110" s="87"/>
      <c r="L110" s="87"/>
      <c r="M110" s="87"/>
      <c r="N110" s="87" t="s">
        <v>461</v>
      </c>
      <c r="O110" s="87" t="s">
        <v>440</v>
      </c>
    </row>
    <row r="111" customFormat="false" ht="22.35" hidden="false" customHeight="false" outlineLevel="0" collapsed="false">
      <c r="A111" s="87" t="s">
        <v>669</v>
      </c>
      <c r="B111" s="87" t="n">
        <v>107</v>
      </c>
      <c r="C111" s="87" t="s">
        <v>667</v>
      </c>
      <c r="D111" s="87" t="s">
        <v>474</v>
      </c>
      <c r="E111" s="87" t="s">
        <v>670</v>
      </c>
      <c r="F111" s="87" t="s">
        <v>431</v>
      </c>
      <c r="G111" s="87" t="s">
        <v>237</v>
      </c>
      <c r="H111" s="87" t="s">
        <v>237</v>
      </c>
      <c r="I111" s="87" t="s">
        <v>237</v>
      </c>
      <c r="J111" s="87"/>
      <c r="K111" s="87"/>
      <c r="L111" s="87"/>
      <c r="M111" s="87"/>
      <c r="N111" s="87" t="s">
        <v>461</v>
      </c>
      <c r="O111" s="87" t="s">
        <v>435</v>
      </c>
    </row>
    <row r="112" customFormat="false" ht="22.35" hidden="false" customHeight="false" outlineLevel="0" collapsed="false">
      <c r="A112" s="87" t="s">
        <v>671</v>
      </c>
      <c r="B112" s="87" t="n">
        <v>108</v>
      </c>
      <c r="C112" s="87" t="s">
        <v>667</v>
      </c>
      <c r="D112" s="87" t="s">
        <v>474</v>
      </c>
      <c r="E112" s="87" t="s">
        <v>672</v>
      </c>
      <c r="F112" s="87" t="s">
        <v>431</v>
      </c>
      <c r="G112" s="87" t="s">
        <v>237</v>
      </c>
      <c r="H112" s="87" t="s">
        <v>237</v>
      </c>
      <c r="I112" s="87" t="s">
        <v>237</v>
      </c>
      <c r="J112" s="87"/>
      <c r="K112" s="87"/>
      <c r="L112" s="87"/>
      <c r="M112" s="87"/>
      <c r="N112" s="87" t="s">
        <v>461</v>
      </c>
      <c r="O112" s="87" t="s">
        <v>435</v>
      </c>
    </row>
    <row r="113" customFormat="false" ht="22.35" hidden="false" customHeight="false" outlineLevel="0" collapsed="false">
      <c r="A113" s="87" t="s">
        <v>673</v>
      </c>
      <c r="B113" s="87" t="n">
        <v>109</v>
      </c>
      <c r="C113" s="87" t="s">
        <v>667</v>
      </c>
      <c r="D113" s="87" t="s">
        <v>474</v>
      </c>
      <c r="E113" s="87" t="s">
        <v>674</v>
      </c>
      <c r="F113" s="87" t="s">
        <v>431</v>
      </c>
      <c r="G113" s="87" t="s">
        <v>237</v>
      </c>
      <c r="H113" s="87" t="s">
        <v>237</v>
      </c>
      <c r="I113" s="87" t="s">
        <v>237</v>
      </c>
      <c r="J113" s="87"/>
      <c r="K113" s="87"/>
      <c r="L113" s="87"/>
      <c r="M113" s="87"/>
      <c r="N113" s="87" t="s">
        <v>461</v>
      </c>
      <c r="O113" s="87" t="s">
        <v>435</v>
      </c>
    </row>
    <row r="114" customFormat="false" ht="22.35" hidden="false" customHeight="false" outlineLevel="0" collapsed="false">
      <c r="A114" s="87" t="s">
        <v>675</v>
      </c>
      <c r="B114" s="87" t="n">
        <v>110</v>
      </c>
      <c r="C114" s="87" t="s">
        <v>667</v>
      </c>
      <c r="D114" s="87" t="s">
        <v>474</v>
      </c>
      <c r="E114" s="87" t="s">
        <v>676</v>
      </c>
      <c r="F114" s="87" t="s">
        <v>431</v>
      </c>
      <c r="G114" s="87" t="s">
        <v>361</v>
      </c>
      <c r="H114" s="87" t="s">
        <v>237</v>
      </c>
      <c r="I114" s="87" t="s">
        <v>361</v>
      </c>
      <c r="J114" s="87"/>
      <c r="K114" s="87"/>
      <c r="L114" s="87"/>
      <c r="M114" s="87"/>
      <c r="N114" s="87" t="s">
        <v>461</v>
      </c>
      <c r="O114" s="87" t="s">
        <v>440</v>
      </c>
    </row>
    <row r="115" customFormat="false" ht="43.25" hidden="false" customHeight="false" outlineLevel="0" collapsed="false">
      <c r="A115" s="87" t="s">
        <v>677</v>
      </c>
      <c r="B115" s="87" t="n">
        <v>111</v>
      </c>
      <c r="C115" s="87" t="s">
        <v>667</v>
      </c>
      <c r="D115" s="87" t="s">
        <v>474</v>
      </c>
      <c r="E115" s="87" t="s">
        <v>476</v>
      </c>
      <c r="F115" s="87" t="s">
        <v>458</v>
      </c>
      <c r="G115" s="87" t="s">
        <v>361</v>
      </c>
      <c r="H115" s="87" t="s">
        <v>361</v>
      </c>
      <c r="I115" s="87" t="s">
        <v>361</v>
      </c>
      <c r="J115" s="87"/>
      <c r="K115" s="87"/>
      <c r="L115" s="87"/>
      <c r="M115" s="87"/>
      <c r="N115" s="87" t="s">
        <v>479</v>
      </c>
      <c r="O115" s="87" t="s">
        <v>480</v>
      </c>
    </row>
    <row r="116" customFormat="false" ht="32.8" hidden="false" customHeight="false" outlineLevel="0" collapsed="false">
      <c r="A116" s="87" t="s">
        <v>678</v>
      </c>
      <c r="B116" s="87" t="n">
        <v>112</v>
      </c>
      <c r="C116" s="87" t="s">
        <v>667</v>
      </c>
      <c r="D116" s="87" t="s">
        <v>474</v>
      </c>
      <c r="E116" s="87" t="s">
        <v>470</v>
      </c>
      <c r="F116" s="87" t="s">
        <v>458</v>
      </c>
      <c r="G116" s="87" t="s">
        <v>361</v>
      </c>
      <c r="H116" s="87" t="s">
        <v>361</v>
      </c>
      <c r="I116" s="87" t="s">
        <v>361</v>
      </c>
      <c r="J116" s="87"/>
      <c r="K116" s="87"/>
      <c r="L116" s="87"/>
      <c r="M116" s="87"/>
      <c r="N116" s="87" t="s">
        <v>473</v>
      </c>
      <c r="O116" s="87" t="s">
        <v>480</v>
      </c>
    </row>
    <row r="117" customFormat="false" ht="22.35" hidden="false" customHeight="false" outlineLevel="0" collapsed="false">
      <c r="A117" s="87" t="s">
        <v>679</v>
      </c>
      <c r="B117" s="87" t="n">
        <v>113</v>
      </c>
      <c r="C117" s="87" t="s">
        <v>667</v>
      </c>
      <c r="D117" s="87" t="s">
        <v>474</v>
      </c>
      <c r="E117" s="87" t="s">
        <v>680</v>
      </c>
      <c r="F117" s="87" t="s">
        <v>458</v>
      </c>
      <c r="G117" s="87" t="s">
        <v>237</v>
      </c>
      <c r="H117" s="87" t="s">
        <v>237</v>
      </c>
      <c r="I117" s="87" t="s">
        <v>237</v>
      </c>
      <c r="J117" s="87"/>
      <c r="K117" s="87"/>
      <c r="L117" s="87"/>
      <c r="M117" s="87"/>
      <c r="N117" s="87" t="s">
        <v>461</v>
      </c>
      <c r="O117" s="87" t="s">
        <v>435</v>
      </c>
    </row>
    <row r="118" customFormat="false" ht="22.35" hidden="false" customHeight="false" outlineLevel="0" collapsed="false">
      <c r="A118" s="87" t="s">
        <v>681</v>
      </c>
      <c r="B118" s="87" t="n">
        <v>114</v>
      </c>
      <c r="C118" s="87" t="s">
        <v>667</v>
      </c>
      <c r="D118" s="87" t="s">
        <v>474</v>
      </c>
      <c r="E118" s="87" t="s">
        <v>464</v>
      </c>
      <c r="F118" s="87" t="s">
        <v>458</v>
      </c>
      <c r="G118" s="87" t="s">
        <v>237</v>
      </c>
      <c r="H118" s="87" t="s">
        <v>361</v>
      </c>
      <c r="I118" s="87" t="s">
        <v>237</v>
      </c>
      <c r="J118" s="87"/>
      <c r="K118" s="87"/>
      <c r="L118" s="87"/>
      <c r="M118" s="87"/>
      <c r="N118" s="87" t="s">
        <v>467</v>
      </c>
      <c r="O118" s="87" t="s">
        <v>435</v>
      </c>
    </row>
    <row r="119" customFormat="false" ht="32.8" hidden="false" customHeight="false" outlineLevel="0" collapsed="false">
      <c r="A119" s="87" t="s">
        <v>682</v>
      </c>
      <c r="B119" s="87" t="n">
        <v>115</v>
      </c>
      <c r="C119" s="87" t="s">
        <v>667</v>
      </c>
      <c r="D119" s="87" t="s">
        <v>474</v>
      </c>
      <c r="E119" s="87" t="s">
        <v>483</v>
      </c>
      <c r="F119" s="87" t="s">
        <v>458</v>
      </c>
      <c r="G119" s="87" t="s">
        <v>237</v>
      </c>
      <c r="H119" s="87" t="s">
        <v>361</v>
      </c>
      <c r="I119" s="87" t="s">
        <v>237</v>
      </c>
      <c r="J119" s="87"/>
      <c r="K119" s="87"/>
      <c r="L119" s="87"/>
      <c r="M119" s="87"/>
      <c r="N119" s="87" t="s">
        <v>485</v>
      </c>
      <c r="O119" s="87" t="s">
        <v>435</v>
      </c>
    </row>
    <row r="120" customFormat="false" ht="22.35" hidden="false" customHeight="false" outlineLevel="0" collapsed="false">
      <c r="A120" s="87" t="s">
        <v>683</v>
      </c>
      <c r="B120" s="87" t="n">
        <v>116</v>
      </c>
      <c r="C120" s="87" t="s">
        <v>667</v>
      </c>
      <c r="D120" s="87" t="s">
        <v>474</v>
      </c>
      <c r="E120" s="87" t="s">
        <v>684</v>
      </c>
      <c r="F120" s="87" t="s">
        <v>488</v>
      </c>
      <c r="G120" s="87" t="s">
        <v>237</v>
      </c>
      <c r="H120" s="87" t="s">
        <v>237</v>
      </c>
      <c r="I120" s="87" t="s">
        <v>237</v>
      </c>
      <c r="J120" s="87"/>
      <c r="K120" s="87"/>
      <c r="L120" s="87"/>
      <c r="M120" s="87"/>
      <c r="N120" s="87" t="s">
        <v>461</v>
      </c>
      <c r="O120" s="87" t="s">
        <v>435</v>
      </c>
    </row>
    <row r="121" customFormat="false" ht="22.35" hidden="false" customHeight="false" outlineLevel="0" collapsed="false">
      <c r="A121" s="87" t="s">
        <v>685</v>
      </c>
      <c r="B121" s="87" t="n">
        <v>117</v>
      </c>
      <c r="C121" s="87" t="s">
        <v>667</v>
      </c>
      <c r="D121" s="87" t="s">
        <v>474</v>
      </c>
      <c r="E121" s="87" t="s">
        <v>493</v>
      </c>
      <c r="F121" s="87" t="s">
        <v>488</v>
      </c>
      <c r="G121" s="87" t="s">
        <v>361</v>
      </c>
      <c r="H121" s="87" t="s">
        <v>237</v>
      </c>
      <c r="I121" s="87" t="s">
        <v>361</v>
      </c>
      <c r="J121" s="87"/>
      <c r="K121" s="87"/>
      <c r="L121" s="87"/>
      <c r="M121" s="87"/>
      <c r="N121" s="87" t="s">
        <v>461</v>
      </c>
      <c r="O121" s="87" t="s">
        <v>440</v>
      </c>
    </row>
    <row r="122" customFormat="false" ht="22.35" hidden="false" customHeight="false" outlineLevel="0" collapsed="false">
      <c r="A122" s="87" t="s">
        <v>686</v>
      </c>
      <c r="B122" s="87" t="n">
        <v>118</v>
      </c>
      <c r="C122" s="87" t="s">
        <v>667</v>
      </c>
      <c r="D122" s="87" t="s">
        <v>474</v>
      </c>
      <c r="E122" s="87" t="s">
        <v>497</v>
      </c>
      <c r="F122" s="87" t="s">
        <v>488</v>
      </c>
      <c r="G122" s="87" t="s">
        <v>237</v>
      </c>
      <c r="H122" s="87" t="s">
        <v>237</v>
      </c>
      <c r="I122" s="87" t="s">
        <v>237</v>
      </c>
      <c r="J122" s="87"/>
      <c r="K122" s="87"/>
      <c r="L122" s="87"/>
      <c r="M122" s="87"/>
      <c r="N122" s="87" t="s">
        <v>461</v>
      </c>
      <c r="O122" s="87" t="s">
        <v>435</v>
      </c>
    </row>
    <row r="123" customFormat="false" ht="32.8" hidden="false" customHeight="false" outlineLevel="0" collapsed="false">
      <c r="A123" s="87" t="s">
        <v>687</v>
      </c>
      <c r="B123" s="87" t="n">
        <v>119</v>
      </c>
      <c r="C123" s="87" t="s">
        <v>667</v>
      </c>
      <c r="D123" s="87" t="s">
        <v>474</v>
      </c>
      <c r="E123" s="87" t="s">
        <v>501</v>
      </c>
      <c r="F123" s="87" t="s">
        <v>488</v>
      </c>
      <c r="G123" s="87" t="s">
        <v>237</v>
      </c>
      <c r="H123" s="87" t="s">
        <v>361</v>
      </c>
      <c r="I123" s="87" t="s">
        <v>361</v>
      </c>
      <c r="J123" s="87"/>
      <c r="K123" s="87"/>
      <c r="L123" s="87"/>
      <c r="M123" s="87"/>
      <c r="N123" s="87" t="s">
        <v>504</v>
      </c>
      <c r="O123" s="87" t="s">
        <v>505</v>
      </c>
    </row>
    <row r="124" customFormat="false" ht="22.35" hidden="false" customHeight="false" outlineLevel="0" collapsed="false">
      <c r="A124" s="87" t="s">
        <v>688</v>
      </c>
      <c r="B124" s="87" t="n">
        <v>120</v>
      </c>
      <c r="C124" s="87" t="s">
        <v>667</v>
      </c>
      <c r="D124" s="87" t="s">
        <v>474</v>
      </c>
      <c r="E124" s="87" t="s">
        <v>507</v>
      </c>
      <c r="F124" s="87" t="s">
        <v>488</v>
      </c>
      <c r="G124" s="87" t="s">
        <v>237</v>
      </c>
      <c r="H124" s="87" t="s">
        <v>237</v>
      </c>
      <c r="I124" s="87" t="s">
        <v>361</v>
      </c>
      <c r="J124" s="87"/>
      <c r="K124" s="87"/>
      <c r="L124" s="87"/>
      <c r="M124" s="87"/>
      <c r="N124" s="87" t="s">
        <v>461</v>
      </c>
      <c r="O124" s="87" t="s">
        <v>510</v>
      </c>
    </row>
    <row r="125" customFormat="false" ht="22.35" hidden="false" customHeight="false" outlineLevel="0" collapsed="false">
      <c r="A125" s="87" t="s">
        <v>689</v>
      </c>
      <c r="B125" s="87" t="n">
        <v>121</v>
      </c>
      <c r="C125" s="87" t="s">
        <v>690</v>
      </c>
      <c r="D125" s="87" t="s">
        <v>481</v>
      </c>
      <c r="E125" s="87" t="s">
        <v>691</v>
      </c>
      <c r="F125" s="87" t="s">
        <v>431</v>
      </c>
      <c r="G125" s="87" t="s">
        <v>361</v>
      </c>
      <c r="H125" s="87" t="s">
        <v>237</v>
      </c>
      <c r="I125" s="87" t="s">
        <v>361</v>
      </c>
      <c r="J125" s="87"/>
      <c r="K125" s="87"/>
      <c r="L125" s="87"/>
      <c r="M125" s="87"/>
      <c r="N125" s="87" t="s">
        <v>461</v>
      </c>
      <c r="O125" s="87" t="s">
        <v>440</v>
      </c>
    </row>
    <row r="126" customFormat="false" ht="43.25" hidden="false" customHeight="false" outlineLevel="0" collapsed="false">
      <c r="A126" s="87" t="s">
        <v>692</v>
      </c>
      <c r="B126" s="87" t="n">
        <v>122</v>
      </c>
      <c r="C126" s="87" t="s">
        <v>690</v>
      </c>
      <c r="D126" s="87" t="s">
        <v>481</v>
      </c>
      <c r="E126" s="87" t="s">
        <v>693</v>
      </c>
      <c r="F126" s="87" t="s">
        <v>431</v>
      </c>
      <c r="G126" s="87" t="s">
        <v>237</v>
      </c>
      <c r="H126" s="87" t="s">
        <v>361</v>
      </c>
      <c r="I126" s="87" t="s">
        <v>237</v>
      </c>
      <c r="J126" s="87"/>
      <c r="K126" s="87"/>
      <c r="L126" s="87"/>
      <c r="M126" s="87"/>
      <c r="N126" s="87" t="s">
        <v>694</v>
      </c>
      <c r="O126" s="87" t="s">
        <v>435</v>
      </c>
    </row>
    <row r="127" customFormat="false" ht="22.35" hidden="false" customHeight="false" outlineLevel="0" collapsed="false">
      <c r="A127" s="87" t="s">
        <v>695</v>
      </c>
      <c r="B127" s="87" t="n">
        <v>123</v>
      </c>
      <c r="C127" s="87" t="s">
        <v>690</v>
      </c>
      <c r="D127" s="87" t="s">
        <v>481</v>
      </c>
      <c r="E127" s="87" t="s">
        <v>696</v>
      </c>
      <c r="F127" s="87" t="s">
        <v>431</v>
      </c>
      <c r="G127" s="87" t="s">
        <v>361</v>
      </c>
      <c r="H127" s="87" t="s">
        <v>237</v>
      </c>
      <c r="I127" s="87" t="s">
        <v>361</v>
      </c>
      <c r="J127" s="87"/>
      <c r="K127" s="87"/>
      <c r="L127" s="87"/>
      <c r="M127" s="87"/>
      <c r="N127" s="87" t="s">
        <v>461</v>
      </c>
      <c r="O127" s="87" t="s">
        <v>440</v>
      </c>
    </row>
    <row r="128" customFormat="false" ht="22.35" hidden="false" customHeight="false" outlineLevel="0" collapsed="false">
      <c r="A128" s="87" t="s">
        <v>697</v>
      </c>
      <c r="B128" s="87" t="n">
        <v>124</v>
      </c>
      <c r="C128" s="87" t="s">
        <v>690</v>
      </c>
      <c r="D128" s="87" t="s">
        <v>481</v>
      </c>
      <c r="E128" s="87" t="s">
        <v>698</v>
      </c>
      <c r="F128" s="87" t="s">
        <v>431</v>
      </c>
      <c r="G128" s="87" t="s">
        <v>361</v>
      </c>
      <c r="H128" s="87" t="s">
        <v>237</v>
      </c>
      <c r="I128" s="87" t="s">
        <v>361</v>
      </c>
      <c r="J128" s="87"/>
      <c r="K128" s="87"/>
      <c r="L128" s="87"/>
      <c r="M128" s="87"/>
      <c r="N128" s="87" t="s">
        <v>461</v>
      </c>
      <c r="O128" s="87" t="s">
        <v>440</v>
      </c>
    </row>
    <row r="129" customFormat="false" ht="32.8" hidden="false" customHeight="false" outlineLevel="0" collapsed="false">
      <c r="A129" s="87" t="s">
        <v>699</v>
      </c>
      <c r="B129" s="87" t="n">
        <v>125</v>
      </c>
      <c r="C129" s="87" t="s">
        <v>690</v>
      </c>
      <c r="D129" s="87" t="s">
        <v>481</v>
      </c>
      <c r="E129" s="87" t="s">
        <v>700</v>
      </c>
      <c r="F129" s="87" t="s">
        <v>431</v>
      </c>
      <c r="G129" s="87" t="s">
        <v>237</v>
      </c>
      <c r="H129" s="87" t="s">
        <v>361</v>
      </c>
      <c r="I129" s="87" t="s">
        <v>237</v>
      </c>
      <c r="J129" s="87"/>
      <c r="K129" s="87"/>
      <c r="L129" s="87"/>
      <c r="M129" s="87"/>
      <c r="N129" s="87" t="s">
        <v>701</v>
      </c>
      <c r="O129" s="87" t="s">
        <v>435</v>
      </c>
    </row>
    <row r="130" customFormat="false" ht="22.35" hidden="false" customHeight="false" outlineLevel="0" collapsed="false">
      <c r="A130" s="87" t="s">
        <v>702</v>
      </c>
      <c r="B130" s="87" t="n">
        <v>126</v>
      </c>
      <c r="C130" s="87" t="s">
        <v>690</v>
      </c>
      <c r="D130" s="87" t="s">
        <v>481</v>
      </c>
      <c r="E130" s="87" t="s">
        <v>703</v>
      </c>
      <c r="F130" s="87" t="s">
        <v>458</v>
      </c>
      <c r="G130" s="87" t="s">
        <v>361</v>
      </c>
      <c r="H130" s="87" t="s">
        <v>361</v>
      </c>
      <c r="I130" s="87" t="s">
        <v>361</v>
      </c>
      <c r="J130" s="87"/>
      <c r="K130" s="87"/>
      <c r="L130" s="87"/>
      <c r="M130" s="87"/>
      <c r="N130" s="87" t="s">
        <v>704</v>
      </c>
      <c r="O130" s="87" t="s">
        <v>480</v>
      </c>
    </row>
    <row r="131" customFormat="false" ht="32.8" hidden="false" customHeight="false" outlineLevel="0" collapsed="false">
      <c r="A131" s="87" t="s">
        <v>705</v>
      </c>
      <c r="B131" s="87" t="n">
        <v>127</v>
      </c>
      <c r="C131" s="87" t="s">
        <v>690</v>
      </c>
      <c r="D131" s="87" t="s">
        <v>481</v>
      </c>
      <c r="E131" s="87" t="s">
        <v>470</v>
      </c>
      <c r="F131" s="87" t="s">
        <v>458</v>
      </c>
      <c r="G131" s="87" t="s">
        <v>361</v>
      </c>
      <c r="H131" s="87" t="s">
        <v>361</v>
      </c>
      <c r="I131" s="87" t="s">
        <v>361</v>
      </c>
      <c r="J131" s="87"/>
      <c r="K131" s="87"/>
      <c r="L131" s="87"/>
      <c r="M131" s="87"/>
      <c r="N131" s="87" t="s">
        <v>473</v>
      </c>
      <c r="O131" s="87" t="s">
        <v>480</v>
      </c>
    </row>
    <row r="132" customFormat="false" ht="22.35" hidden="false" customHeight="false" outlineLevel="0" collapsed="false">
      <c r="A132" s="87" t="s">
        <v>706</v>
      </c>
      <c r="B132" s="87" t="n">
        <v>128</v>
      </c>
      <c r="C132" s="87" t="s">
        <v>690</v>
      </c>
      <c r="D132" s="87" t="s">
        <v>481</v>
      </c>
      <c r="E132" s="87" t="s">
        <v>707</v>
      </c>
      <c r="F132" s="87" t="s">
        <v>458</v>
      </c>
      <c r="G132" s="87" t="s">
        <v>237</v>
      </c>
      <c r="H132" s="87" t="s">
        <v>237</v>
      </c>
      <c r="I132" s="87" t="s">
        <v>237</v>
      </c>
      <c r="J132" s="87"/>
      <c r="K132" s="87"/>
      <c r="L132" s="87"/>
      <c r="M132" s="87"/>
      <c r="N132" s="87" t="s">
        <v>461</v>
      </c>
      <c r="O132" s="87" t="s">
        <v>435</v>
      </c>
    </row>
    <row r="133" customFormat="false" ht="22.35" hidden="false" customHeight="false" outlineLevel="0" collapsed="false">
      <c r="A133" s="87" t="s">
        <v>708</v>
      </c>
      <c r="B133" s="87" t="n">
        <v>129</v>
      </c>
      <c r="C133" s="87" t="s">
        <v>690</v>
      </c>
      <c r="D133" s="87" t="s">
        <v>481</v>
      </c>
      <c r="E133" s="87" t="s">
        <v>464</v>
      </c>
      <c r="F133" s="87" t="s">
        <v>458</v>
      </c>
      <c r="G133" s="87" t="s">
        <v>237</v>
      </c>
      <c r="H133" s="87" t="s">
        <v>361</v>
      </c>
      <c r="I133" s="87" t="s">
        <v>237</v>
      </c>
      <c r="J133" s="87"/>
      <c r="K133" s="87"/>
      <c r="L133" s="87"/>
      <c r="M133" s="87"/>
      <c r="N133" s="87" t="s">
        <v>467</v>
      </c>
      <c r="O133" s="87" t="s">
        <v>435</v>
      </c>
    </row>
    <row r="134" customFormat="false" ht="22.35" hidden="false" customHeight="false" outlineLevel="0" collapsed="false">
      <c r="A134" s="87" t="s">
        <v>709</v>
      </c>
      <c r="B134" s="87" t="n">
        <v>130</v>
      </c>
      <c r="C134" s="87" t="s">
        <v>690</v>
      </c>
      <c r="D134" s="87" t="s">
        <v>481</v>
      </c>
      <c r="E134" s="87" t="s">
        <v>710</v>
      </c>
      <c r="F134" s="87" t="s">
        <v>458</v>
      </c>
      <c r="G134" s="87" t="s">
        <v>237</v>
      </c>
      <c r="H134" s="87" t="s">
        <v>361</v>
      </c>
      <c r="I134" s="87" t="s">
        <v>237</v>
      </c>
      <c r="J134" s="87"/>
      <c r="K134" s="87"/>
      <c r="L134" s="87"/>
      <c r="M134" s="87"/>
      <c r="N134" s="87" t="s">
        <v>711</v>
      </c>
      <c r="O134" s="87" t="s">
        <v>435</v>
      </c>
    </row>
    <row r="135" customFormat="false" ht="22.35" hidden="false" customHeight="false" outlineLevel="0" collapsed="false">
      <c r="A135" s="87" t="s">
        <v>712</v>
      </c>
      <c r="B135" s="87" t="n">
        <v>131</v>
      </c>
      <c r="C135" s="87" t="s">
        <v>690</v>
      </c>
      <c r="D135" s="87" t="s">
        <v>481</v>
      </c>
      <c r="E135" s="87" t="s">
        <v>713</v>
      </c>
      <c r="F135" s="87" t="s">
        <v>488</v>
      </c>
      <c r="G135" s="87" t="s">
        <v>237</v>
      </c>
      <c r="H135" s="87" t="s">
        <v>237</v>
      </c>
      <c r="I135" s="87" t="s">
        <v>237</v>
      </c>
      <c r="J135" s="87"/>
      <c r="K135" s="87"/>
      <c r="L135" s="87"/>
      <c r="M135" s="87"/>
      <c r="N135" s="87" t="s">
        <v>461</v>
      </c>
      <c r="O135" s="87" t="s">
        <v>435</v>
      </c>
    </row>
    <row r="136" customFormat="false" ht="22.35" hidden="false" customHeight="false" outlineLevel="0" collapsed="false">
      <c r="A136" s="87" t="s">
        <v>714</v>
      </c>
      <c r="B136" s="87" t="n">
        <v>132</v>
      </c>
      <c r="C136" s="87" t="s">
        <v>690</v>
      </c>
      <c r="D136" s="87" t="s">
        <v>481</v>
      </c>
      <c r="E136" s="87" t="s">
        <v>493</v>
      </c>
      <c r="F136" s="87" t="s">
        <v>488</v>
      </c>
      <c r="G136" s="87" t="s">
        <v>361</v>
      </c>
      <c r="H136" s="87" t="s">
        <v>237</v>
      </c>
      <c r="I136" s="87" t="s">
        <v>361</v>
      </c>
      <c r="J136" s="87"/>
      <c r="K136" s="87"/>
      <c r="L136" s="87"/>
      <c r="M136" s="87"/>
      <c r="N136" s="87" t="s">
        <v>461</v>
      </c>
      <c r="O136" s="87" t="s">
        <v>440</v>
      </c>
    </row>
    <row r="137" customFormat="false" ht="22.35" hidden="false" customHeight="false" outlineLevel="0" collapsed="false">
      <c r="A137" s="87" t="s">
        <v>715</v>
      </c>
      <c r="B137" s="87" t="n">
        <v>133</v>
      </c>
      <c r="C137" s="87" t="s">
        <v>690</v>
      </c>
      <c r="D137" s="87" t="s">
        <v>481</v>
      </c>
      <c r="E137" s="87" t="s">
        <v>497</v>
      </c>
      <c r="F137" s="87" t="s">
        <v>488</v>
      </c>
      <c r="G137" s="87" t="s">
        <v>237</v>
      </c>
      <c r="H137" s="87" t="s">
        <v>237</v>
      </c>
      <c r="I137" s="87" t="s">
        <v>237</v>
      </c>
      <c r="J137" s="87"/>
      <c r="K137" s="87"/>
      <c r="L137" s="87"/>
      <c r="M137" s="87"/>
      <c r="N137" s="87" t="s">
        <v>461</v>
      </c>
      <c r="O137" s="87" t="s">
        <v>435</v>
      </c>
    </row>
    <row r="138" customFormat="false" ht="32.8" hidden="false" customHeight="false" outlineLevel="0" collapsed="false">
      <c r="A138" s="87" t="s">
        <v>716</v>
      </c>
      <c r="B138" s="87" t="n">
        <v>134</v>
      </c>
      <c r="C138" s="87" t="s">
        <v>690</v>
      </c>
      <c r="D138" s="87" t="s">
        <v>481</v>
      </c>
      <c r="E138" s="87" t="s">
        <v>501</v>
      </c>
      <c r="F138" s="87" t="s">
        <v>488</v>
      </c>
      <c r="G138" s="87" t="s">
        <v>237</v>
      </c>
      <c r="H138" s="87" t="s">
        <v>361</v>
      </c>
      <c r="I138" s="87" t="s">
        <v>361</v>
      </c>
      <c r="J138" s="87"/>
      <c r="K138" s="87"/>
      <c r="L138" s="87"/>
      <c r="M138" s="87"/>
      <c r="N138" s="87" t="s">
        <v>504</v>
      </c>
      <c r="O138" s="87" t="s">
        <v>505</v>
      </c>
    </row>
    <row r="139" customFormat="false" ht="22.35" hidden="false" customHeight="false" outlineLevel="0" collapsed="false">
      <c r="A139" s="87" t="s">
        <v>717</v>
      </c>
      <c r="B139" s="87" t="n">
        <v>135</v>
      </c>
      <c r="C139" s="87" t="s">
        <v>690</v>
      </c>
      <c r="D139" s="87" t="s">
        <v>481</v>
      </c>
      <c r="E139" s="87" t="s">
        <v>507</v>
      </c>
      <c r="F139" s="87" t="s">
        <v>488</v>
      </c>
      <c r="G139" s="87" t="s">
        <v>237</v>
      </c>
      <c r="H139" s="87" t="s">
        <v>237</v>
      </c>
      <c r="I139" s="87" t="s">
        <v>361</v>
      </c>
      <c r="J139" s="87"/>
      <c r="K139" s="87"/>
      <c r="L139" s="87"/>
      <c r="M139" s="87"/>
      <c r="N139" s="87" t="s">
        <v>461</v>
      </c>
      <c r="O139" s="87" t="s">
        <v>510</v>
      </c>
    </row>
    <row r="140" customFormat="false" ht="22.35" hidden="false" customHeight="false" outlineLevel="0" collapsed="false">
      <c r="A140" s="87" t="s">
        <v>718</v>
      </c>
      <c r="B140" s="87" t="n">
        <v>136</v>
      </c>
      <c r="C140" s="87" t="s">
        <v>719</v>
      </c>
      <c r="D140" s="87" t="s">
        <v>486</v>
      </c>
      <c r="E140" s="87" t="s">
        <v>720</v>
      </c>
      <c r="F140" s="87" t="s">
        <v>431</v>
      </c>
      <c r="G140" s="87" t="s">
        <v>361</v>
      </c>
      <c r="H140" s="87" t="s">
        <v>237</v>
      </c>
      <c r="I140" s="87" t="s">
        <v>361</v>
      </c>
      <c r="J140" s="87"/>
      <c r="K140" s="87"/>
      <c r="L140" s="87"/>
      <c r="M140" s="87"/>
      <c r="N140" s="87" t="s">
        <v>461</v>
      </c>
      <c r="O140" s="87" t="s">
        <v>440</v>
      </c>
    </row>
    <row r="141" customFormat="false" ht="22.35" hidden="false" customHeight="false" outlineLevel="0" collapsed="false">
      <c r="A141" s="87" t="s">
        <v>721</v>
      </c>
      <c r="B141" s="87" t="n">
        <v>137</v>
      </c>
      <c r="C141" s="87" t="s">
        <v>719</v>
      </c>
      <c r="D141" s="87" t="s">
        <v>486</v>
      </c>
      <c r="E141" s="87" t="s">
        <v>722</v>
      </c>
      <c r="F141" s="87" t="s">
        <v>431</v>
      </c>
      <c r="G141" s="87" t="s">
        <v>237</v>
      </c>
      <c r="H141" s="87" t="s">
        <v>237</v>
      </c>
      <c r="I141" s="87" t="s">
        <v>237</v>
      </c>
      <c r="J141" s="87"/>
      <c r="K141" s="87"/>
      <c r="L141" s="87"/>
      <c r="M141" s="87"/>
      <c r="N141" s="87" t="s">
        <v>461</v>
      </c>
      <c r="O141" s="87" t="s">
        <v>435</v>
      </c>
    </row>
    <row r="142" customFormat="false" ht="22.35" hidden="false" customHeight="false" outlineLevel="0" collapsed="false">
      <c r="A142" s="87" t="s">
        <v>723</v>
      </c>
      <c r="B142" s="87" t="n">
        <v>138</v>
      </c>
      <c r="C142" s="87" t="s">
        <v>719</v>
      </c>
      <c r="D142" s="87" t="s">
        <v>486</v>
      </c>
      <c r="E142" s="87" t="s">
        <v>724</v>
      </c>
      <c r="F142" s="87" t="s">
        <v>431</v>
      </c>
      <c r="G142" s="87" t="s">
        <v>361</v>
      </c>
      <c r="H142" s="87" t="s">
        <v>237</v>
      </c>
      <c r="I142" s="87" t="s">
        <v>361</v>
      </c>
      <c r="J142" s="87"/>
      <c r="K142" s="87"/>
      <c r="L142" s="87"/>
      <c r="M142" s="87"/>
      <c r="N142" s="87" t="s">
        <v>461</v>
      </c>
      <c r="O142" s="87" t="s">
        <v>440</v>
      </c>
    </row>
    <row r="143" customFormat="false" ht="43.25" hidden="false" customHeight="false" outlineLevel="0" collapsed="false">
      <c r="A143" s="87" t="s">
        <v>725</v>
      </c>
      <c r="B143" s="87" t="n">
        <v>139</v>
      </c>
      <c r="C143" s="87" t="s">
        <v>719</v>
      </c>
      <c r="D143" s="87" t="s">
        <v>486</v>
      </c>
      <c r="E143" s="87" t="s">
        <v>726</v>
      </c>
      <c r="F143" s="87" t="s">
        <v>431</v>
      </c>
      <c r="G143" s="87" t="s">
        <v>237</v>
      </c>
      <c r="H143" s="87" t="s">
        <v>361</v>
      </c>
      <c r="I143" s="87" t="s">
        <v>237</v>
      </c>
      <c r="J143" s="87"/>
      <c r="K143" s="87"/>
      <c r="L143" s="87"/>
      <c r="M143" s="87"/>
      <c r="N143" s="87" t="s">
        <v>727</v>
      </c>
      <c r="O143" s="87" t="s">
        <v>435</v>
      </c>
    </row>
    <row r="144" customFormat="false" ht="22.35" hidden="false" customHeight="false" outlineLevel="0" collapsed="false">
      <c r="A144" s="87" t="s">
        <v>728</v>
      </c>
      <c r="B144" s="87" t="n">
        <v>140</v>
      </c>
      <c r="C144" s="87" t="s">
        <v>719</v>
      </c>
      <c r="D144" s="87" t="s">
        <v>486</v>
      </c>
      <c r="E144" s="87" t="s">
        <v>729</v>
      </c>
      <c r="F144" s="87" t="s">
        <v>431</v>
      </c>
      <c r="G144" s="87" t="s">
        <v>361</v>
      </c>
      <c r="H144" s="87" t="s">
        <v>237</v>
      </c>
      <c r="I144" s="87" t="s">
        <v>361</v>
      </c>
      <c r="J144" s="87"/>
      <c r="K144" s="87"/>
      <c r="L144" s="87"/>
      <c r="M144" s="87"/>
      <c r="N144" s="87" t="s">
        <v>461</v>
      </c>
      <c r="O144" s="87" t="s">
        <v>440</v>
      </c>
    </row>
    <row r="145" customFormat="false" ht="22.35" hidden="false" customHeight="false" outlineLevel="0" collapsed="false">
      <c r="A145" s="87" t="s">
        <v>730</v>
      </c>
      <c r="B145" s="87" t="n">
        <v>141</v>
      </c>
      <c r="C145" s="87" t="s">
        <v>719</v>
      </c>
      <c r="D145" s="87" t="s">
        <v>486</v>
      </c>
      <c r="E145" s="87" t="s">
        <v>731</v>
      </c>
      <c r="F145" s="87" t="s">
        <v>458</v>
      </c>
      <c r="G145" s="87" t="s">
        <v>361</v>
      </c>
      <c r="H145" s="87" t="s">
        <v>237</v>
      </c>
      <c r="I145" s="87" t="s">
        <v>361</v>
      </c>
      <c r="J145" s="87"/>
      <c r="K145" s="87"/>
      <c r="L145" s="87"/>
      <c r="M145" s="87"/>
      <c r="N145" s="87" t="s">
        <v>461</v>
      </c>
      <c r="O145" s="87" t="s">
        <v>480</v>
      </c>
    </row>
    <row r="146" customFormat="false" ht="43.25" hidden="false" customHeight="false" outlineLevel="0" collapsed="false">
      <c r="A146" s="87" t="s">
        <v>732</v>
      </c>
      <c r="B146" s="87" t="n">
        <v>142</v>
      </c>
      <c r="C146" s="87" t="s">
        <v>719</v>
      </c>
      <c r="D146" s="87" t="s">
        <v>486</v>
      </c>
      <c r="E146" s="87" t="s">
        <v>733</v>
      </c>
      <c r="F146" s="87" t="s">
        <v>458</v>
      </c>
      <c r="G146" s="87" t="s">
        <v>361</v>
      </c>
      <c r="H146" s="87" t="s">
        <v>361</v>
      </c>
      <c r="I146" s="87" t="s">
        <v>361</v>
      </c>
      <c r="J146" s="87"/>
      <c r="K146" s="87"/>
      <c r="L146" s="87"/>
      <c r="M146" s="87"/>
      <c r="N146" s="87" t="s">
        <v>734</v>
      </c>
      <c r="O146" s="87" t="s">
        <v>480</v>
      </c>
    </row>
    <row r="147" customFormat="false" ht="43.25" hidden="false" customHeight="false" outlineLevel="0" collapsed="false">
      <c r="A147" s="87" t="s">
        <v>735</v>
      </c>
      <c r="B147" s="87" t="n">
        <v>143</v>
      </c>
      <c r="C147" s="87" t="s">
        <v>719</v>
      </c>
      <c r="D147" s="87" t="s">
        <v>486</v>
      </c>
      <c r="E147" s="87" t="s">
        <v>736</v>
      </c>
      <c r="F147" s="87" t="s">
        <v>458</v>
      </c>
      <c r="G147" s="87" t="s">
        <v>361</v>
      </c>
      <c r="H147" s="87" t="s">
        <v>361</v>
      </c>
      <c r="I147" s="87" t="s">
        <v>361</v>
      </c>
      <c r="J147" s="87"/>
      <c r="K147" s="87"/>
      <c r="L147" s="87"/>
      <c r="M147" s="87"/>
      <c r="N147" s="87" t="s">
        <v>737</v>
      </c>
      <c r="O147" s="87" t="s">
        <v>480</v>
      </c>
    </row>
    <row r="148" customFormat="false" ht="22.35" hidden="false" customHeight="false" outlineLevel="0" collapsed="false">
      <c r="A148" s="87" t="s">
        <v>738</v>
      </c>
      <c r="B148" s="87" t="n">
        <v>144</v>
      </c>
      <c r="C148" s="87" t="s">
        <v>719</v>
      </c>
      <c r="D148" s="87" t="s">
        <v>486</v>
      </c>
      <c r="E148" s="87" t="s">
        <v>739</v>
      </c>
      <c r="F148" s="87" t="s">
        <v>458</v>
      </c>
      <c r="G148" s="87" t="s">
        <v>361</v>
      </c>
      <c r="H148" s="87" t="s">
        <v>237</v>
      </c>
      <c r="I148" s="87" t="s">
        <v>361</v>
      </c>
      <c r="J148" s="87"/>
      <c r="K148" s="87"/>
      <c r="L148" s="87"/>
      <c r="M148" s="87"/>
      <c r="N148" s="87" t="s">
        <v>461</v>
      </c>
      <c r="O148" s="87" t="s">
        <v>480</v>
      </c>
    </row>
    <row r="149" customFormat="false" ht="32.8" hidden="false" customHeight="false" outlineLevel="0" collapsed="false">
      <c r="A149" s="87" t="s">
        <v>740</v>
      </c>
      <c r="B149" s="87" t="n">
        <v>145</v>
      </c>
      <c r="C149" s="87" t="s">
        <v>719</v>
      </c>
      <c r="D149" s="87" t="s">
        <v>486</v>
      </c>
      <c r="E149" s="87" t="s">
        <v>741</v>
      </c>
      <c r="F149" s="87" t="s">
        <v>458</v>
      </c>
      <c r="G149" s="87" t="s">
        <v>237</v>
      </c>
      <c r="H149" s="87" t="s">
        <v>361</v>
      </c>
      <c r="I149" s="87" t="s">
        <v>237</v>
      </c>
      <c r="J149" s="87"/>
      <c r="K149" s="87"/>
      <c r="L149" s="87"/>
      <c r="M149" s="87"/>
      <c r="N149" s="87" t="s">
        <v>742</v>
      </c>
      <c r="O149" s="87" t="s">
        <v>435</v>
      </c>
    </row>
    <row r="150" customFormat="false" ht="22.35" hidden="false" customHeight="false" outlineLevel="0" collapsed="false">
      <c r="A150" s="87" t="s">
        <v>743</v>
      </c>
      <c r="B150" s="87" t="n">
        <v>146</v>
      </c>
      <c r="C150" s="87" t="s">
        <v>719</v>
      </c>
      <c r="D150" s="87" t="s">
        <v>486</v>
      </c>
      <c r="E150" s="87" t="s">
        <v>744</v>
      </c>
      <c r="F150" s="87" t="s">
        <v>488</v>
      </c>
      <c r="G150" s="87" t="s">
        <v>237</v>
      </c>
      <c r="H150" s="87" t="s">
        <v>237</v>
      </c>
      <c r="I150" s="87" t="s">
        <v>237</v>
      </c>
      <c r="J150" s="87"/>
      <c r="K150" s="87"/>
      <c r="L150" s="87"/>
      <c r="M150" s="87"/>
      <c r="N150" s="87" t="s">
        <v>461</v>
      </c>
      <c r="O150" s="87" t="s">
        <v>435</v>
      </c>
    </row>
    <row r="151" customFormat="false" ht="22.35" hidden="false" customHeight="false" outlineLevel="0" collapsed="false">
      <c r="A151" s="87" t="s">
        <v>745</v>
      </c>
      <c r="B151" s="87" t="n">
        <v>147</v>
      </c>
      <c r="C151" s="87" t="s">
        <v>719</v>
      </c>
      <c r="D151" s="87" t="s">
        <v>486</v>
      </c>
      <c r="E151" s="87" t="s">
        <v>493</v>
      </c>
      <c r="F151" s="87" t="s">
        <v>488</v>
      </c>
      <c r="G151" s="87" t="s">
        <v>361</v>
      </c>
      <c r="H151" s="87" t="s">
        <v>237</v>
      </c>
      <c r="I151" s="87" t="s">
        <v>361</v>
      </c>
      <c r="J151" s="87"/>
      <c r="K151" s="87"/>
      <c r="L151" s="87"/>
      <c r="M151" s="87"/>
      <c r="N151" s="87" t="s">
        <v>461</v>
      </c>
      <c r="O151" s="87" t="s">
        <v>440</v>
      </c>
    </row>
    <row r="152" customFormat="false" ht="22.35" hidden="false" customHeight="false" outlineLevel="0" collapsed="false">
      <c r="A152" s="87" t="s">
        <v>746</v>
      </c>
      <c r="B152" s="87" t="n">
        <v>148</v>
      </c>
      <c r="C152" s="87" t="s">
        <v>719</v>
      </c>
      <c r="D152" s="87" t="s">
        <v>486</v>
      </c>
      <c r="E152" s="87" t="s">
        <v>497</v>
      </c>
      <c r="F152" s="87" t="s">
        <v>488</v>
      </c>
      <c r="G152" s="87" t="s">
        <v>237</v>
      </c>
      <c r="H152" s="87" t="s">
        <v>237</v>
      </c>
      <c r="I152" s="87" t="s">
        <v>237</v>
      </c>
      <c r="J152" s="87"/>
      <c r="K152" s="87"/>
      <c r="L152" s="87"/>
      <c r="M152" s="87"/>
      <c r="N152" s="87" t="s">
        <v>461</v>
      </c>
      <c r="O152" s="87" t="s">
        <v>435</v>
      </c>
    </row>
    <row r="153" customFormat="false" ht="32.8" hidden="false" customHeight="false" outlineLevel="0" collapsed="false">
      <c r="A153" s="87" t="s">
        <v>747</v>
      </c>
      <c r="B153" s="87" t="n">
        <v>149</v>
      </c>
      <c r="C153" s="87" t="s">
        <v>719</v>
      </c>
      <c r="D153" s="87" t="s">
        <v>486</v>
      </c>
      <c r="E153" s="87" t="s">
        <v>501</v>
      </c>
      <c r="F153" s="87" t="s">
        <v>488</v>
      </c>
      <c r="G153" s="87" t="s">
        <v>237</v>
      </c>
      <c r="H153" s="87" t="s">
        <v>361</v>
      </c>
      <c r="I153" s="87" t="s">
        <v>361</v>
      </c>
      <c r="J153" s="87"/>
      <c r="K153" s="87"/>
      <c r="L153" s="87"/>
      <c r="M153" s="87"/>
      <c r="N153" s="87" t="s">
        <v>504</v>
      </c>
      <c r="O153" s="87" t="s">
        <v>505</v>
      </c>
    </row>
    <row r="154" customFormat="false" ht="22.35" hidden="false" customHeight="false" outlineLevel="0" collapsed="false">
      <c r="A154" s="87" t="s">
        <v>748</v>
      </c>
      <c r="B154" s="87" t="n">
        <v>150</v>
      </c>
      <c r="C154" s="87" t="s">
        <v>719</v>
      </c>
      <c r="D154" s="87" t="s">
        <v>486</v>
      </c>
      <c r="E154" s="87" t="s">
        <v>507</v>
      </c>
      <c r="F154" s="87" t="s">
        <v>488</v>
      </c>
      <c r="G154" s="87" t="s">
        <v>237</v>
      </c>
      <c r="H154" s="87" t="s">
        <v>237</v>
      </c>
      <c r="I154" s="87" t="s">
        <v>361</v>
      </c>
      <c r="J154" s="87"/>
      <c r="K154" s="87"/>
      <c r="L154" s="87"/>
      <c r="M154" s="87"/>
      <c r="N154" s="87" t="s">
        <v>461</v>
      </c>
      <c r="O154" s="87" t="s">
        <v>510</v>
      </c>
    </row>
    <row r="155" customFormat="false" ht="32.8" hidden="false" customHeight="false" outlineLevel="0" collapsed="false">
      <c r="A155" s="87" t="s">
        <v>749</v>
      </c>
      <c r="B155" s="87" t="n">
        <v>151</v>
      </c>
      <c r="C155" s="87" t="s">
        <v>750</v>
      </c>
      <c r="D155" s="87" t="s">
        <v>491</v>
      </c>
      <c r="E155" s="87" t="s">
        <v>751</v>
      </c>
      <c r="F155" s="87" t="s">
        <v>431</v>
      </c>
      <c r="G155" s="87" t="s">
        <v>361</v>
      </c>
      <c r="H155" s="87" t="s">
        <v>361</v>
      </c>
      <c r="I155" s="87" t="s">
        <v>361</v>
      </c>
      <c r="J155" s="87"/>
      <c r="K155" s="87"/>
      <c r="L155" s="87"/>
      <c r="M155" s="87"/>
      <c r="N155" s="87" t="s">
        <v>752</v>
      </c>
      <c r="O155" s="87" t="s">
        <v>440</v>
      </c>
    </row>
    <row r="156" customFormat="false" ht="43.25" hidden="false" customHeight="false" outlineLevel="0" collapsed="false">
      <c r="A156" s="87" t="s">
        <v>753</v>
      </c>
      <c r="B156" s="87" t="n">
        <v>152</v>
      </c>
      <c r="C156" s="87" t="s">
        <v>750</v>
      </c>
      <c r="D156" s="87" t="s">
        <v>491</v>
      </c>
      <c r="E156" s="87" t="s">
        <v>754</v>
      </c>
      <c r="F156" s="87" t="s">
        <v>431</v>
      </c>
      <c r="G156" s="87" t="s">
        <v>361</v>
      </c>
      <c r="H156" s="87" t="s">
        <v>361</v>
      </c>
      <c r="I156" s="87" t="s">
        <v>361</v>
      </c>
      <c r="J156" s="87"/>
      <c r="K156" s="87"/>
      <c r="L156" s="87"/>
      <c r="M156" s="87"/>
      <c r="N156" s="87" t="s">
        <v>755</v>
      </c>
      <c r="O156" s="87" t="s">
        <v>440</v>
      </c>
    </row>
    <row r="157" customFormat="false" ht="15" hidden="false" customHeight="false" outlineLevel="0" collapsed="false">
      <c r="A157" s="87" t="s">
        <v>756</v>
      </c>
      <c r="B157" s="87" t="n">
        <v>153</v>
      </c>
      <c r="C157" s="87" t="s">
        <v>750</v>
      </c>
      <c r="D157" s="87" t="s">
        <v>491</v>
      </c>
      <c r="E157" s="87" t="s">
        <v>757</v>
      </c>
      <c r="F157" s="87" t="s">
        <v>431</v>
      </c>
      <c r="G157" s="87" t="s">
        <v>361</v>
      </c>
      <c r="H157" s="87" t="s">
        <v>237</v>
      </c>
      <c r="I157" s="87" t="s">
        <v>361</v>
      </c>
      <c r="J157" s="87"/>
      <c r="K157" s="87"/>
      <c r="L157" s="87"/>
      <c r="M157" s="87"/>
      <c r="N157" s="87" t="s">
        <v>461</v>
      </c>
      <c r="O157" s="87" t="s">
        <v>440</v>
      </c>
    </row>
    <row r="158" customFormat="false" ht="22.35" hidden="false" customHeight="false" outlineLevel="0" collapsed="false">
      <c r="A158" s="87" t="s">
        <v>758</v>
      </c>
      <c r="B158" s="87" t="n">
        <v>154</v>
      </c>
      <c r="C158" s="87" t="s">
        <v>750</v>
      </c>
      <c r="D158" s="87" t="s">
        <v>491</v>
      </c>
      <c r="E158" s="87" t="s">
        <v>759</v>
      </c>
      <c r="F158" s="87" t="s">
        <v>431</v>
      </c>
      <c r="G158" s="87" t="s">
        <v>237</v>
      </c>
      <c r="H158" s="87" t="s">
        <v>237</v>
      </c>
      <c r="I158" s="87" t="s">
        <v>237</v>
      </c>
      <c r="J158" s="87"/>
      <c r="K158" s="87"/>
      <c r="L158" s="87"/>
      <c r="M158" s="87"/>
      <c r="N158" s="87" t="s">
        <v>461</v>
      </c>
      <c r="O158" s="87" t="s">
        <v>435</v>
      </c>
    </row>
    <row r="159" customFormat="false" ht="32.8" hidden="false" customHeight="false" outlineLevel="0" collapsed="false">
      <c r="A159" s="87" t="s">
        <v>760</v>
      </c>
      <c r="B159" s="87" t="n">
        <v>155</v>
      </c>
      <c r="C159" s="87" t="s">
        <v>750</v>
      </c>
      <c r="D159" s="87" t="s">
        <v>491</v>
      </c>
      <c r="E159" s="87" t="s">
        <v>761</v>
      </c>
      <c r="F159" s="87" t="s">
        <v>431</v>
      </c>
      <c r="G159" s="87" t="s">
        <v>237</v>
      </c>
      <c r="H159" s="87" t="s">
        <v>361</v>
      </c>
      <c r="I159" s="87" t="s">
        <v>237</v>
      </c>
      <c r="J159" s="87"/>
      <c r="K159" s="87"/>
      <c r="L159" s="87"/>
      <c r="M159" s="87"/>
      <c r="N159" s="87" t="s">
        <v>762</v>
      </c>
      <c r="O159" s="87" t="s">
        <v>435</v>
      </c>
    </row>
    <row r="160" customFormat="false" ht="32.8" hidden="false" customHeight="false" outlineLevel="0" collapsed="false">
      <c r="A160" s="87" t="s">
        <v>763</v>
      </c>
      <c r="B160" s="87" t="n">
        <v>156</v>
      </c>
      <c r="C160" s="87" t="s">
        <v>750</v>
      </c>
      <c r="D160" s="87" t="s">
        <v>491</v>
      </c>
      <c r="E160" s="87" t="s">
        <v>764</v>
      </c>
      <c r="F160" s="87" t="s">
        <v>458</v>
      </c>
      <c r="G160" s="87" t="s">
        <v>237</v>
      </c>
      <c r="H160" s="87" t="s">
        <v>361</v>
      </c>
      <c r="I160" s="87" t="s">
        <v>237</v>
      </c>
      <c r="J160" s="87"/>
      <c r="K160" s="87"/>
      <c r="L160" s="87"/>
      <c r="M160" s="87"/>
      <c r="N160" s="87" t="s">
        <v>765</v>
      </c>
      <c r="O160" s="87" t="s">
        <v>435</v>
      </c>
    </row>
    <row r="161" customFormat="false" ht="43.25" hidden="false" customHeight="false" outlineLevel="0" collapsed="false">
      <c r="A161" s="87" t="s">
        <v>766</v>
      </c>
      <c r="B161" s="87" t="n">
        <v>157</v>
      </c>
      <c r="C161" s="87" t="s">
        <v>750</v>
      </c>
      <c r="D161" s="87" t="s">
        <v>491</v>
      </c>
      <c r="E161" s="87" t="s">
        <v>767</v>
      </c>
      <c r="F161" s="87" t="s">
        <v>458</v>
      </c>
      <c r="G161" s="87" t="s">
        <v>237</v>
      </c>
      <c r="H161" s="87" t="s">
        <v>361</v>
      </c>
      <c r="I161" s="87" t="s">
        <v>237</v>
      </c>
      <c r="J161" s="87"/>
      <c r="K161" s="87"/>
      <c r="L161" s="87"/>
      <c r="M161" s="87"/>
      <c r="N161" s="87" t="s">
        <v>768</v>
      </c>
      <c r="O161" s="87" t="s">
        <v>435</v>
      </c>
    </row>
    <row r="162" customFormat="false" ht="15" hidden="false" customHeight="false" outlineLevel="0" collapsed="false">
      <c r="A162" s="87" t="s">
        <v>769</v>
      </c>
      <c r="B162" s="87" t="n">
        <v>158</v>
      </c>
      <c r="C162" s="87" t="s">
        <v>750</v>
      </c>
      <c r="D162" s="87" t="s">
        <v>491</v>
      </c>
      <c r="E162" s="87" t="s">
        <v>770</v>
      </c>
      <c r="F162" s="87" t="s">
        <v>458</v>
      </c>
      <c r="G162" s="87" t="s">
        <v>361</v>
      </c>
      <c r="H162" s="87" t="s">
        <v>237</v>
      </c>
      <c r="I162" s="87" t="s">
        <v>361</v>
      </c>
      <c r="J162" s="87"/>
      <c r="K162" s="87"/>
      <c r="L162" s="87"/>
      <c r="M162" s="87"/>
      <c r="N162" s="87" t="s">
        <v>461</v>
      </c>
      <c r="O162" s="87" t="s">
        <v>480</v>
      </c>
    </row>
    <row r="163" customFormat="false" ht="22.35" hidden="false" customHeight="false" outlineLevel="0" collapsed="false">
      <c r="A163" s="87" t="s">
        <v>771</v>
      </c>
      <c r="B163" s="87" t="n">
        <v>159</v>
      </c>
      <c r="C163" s="87" t="s">
        <v>750</v>
      </c>
      <c r="D163" s="87" t="s">
        <v>491</v>
      </c>
      <c r="E163" s="87" t="s">
        <v>772</v>
      </c>
      <c r="F163" s="87" t="s">
        <v>458</v>
      </c>
      <c r="G163" s="87" t="s">
        <v>237</v>
      </c>
      <c r="H163" s="87" t="s">
        <v>361</v>
      </c>
      <c r="I163" s="87" t="s">
        <v>237</v>
      </c>
      <c r="J163" s="87"/>
      <c r="K163" s="87"/>
      <c r="L163" s="87"/>
      <c r="M163" s="87"/>
      <c r="N163" s="87" t="s">
        <v>773</v>
      </c>
      <c r="O163" s="87" t="s">
        <v>435</v>
      </c>
    </row>
    <row r="164" customFormat="false" ht="32.8" hidden="false" customHeight="false" outlineLevel="0" collapsed="false">
      <c r="A164" s="87" t="s">
        <v>774</v>
      </c>
      <c r="B164" s="87" t="n">
        <v>160</v>
      </c>
      <c r="C164" s="87" t="s">
        <v>750</v>
      </c>
      <c r="D164" s="87" t="s">
        <v>491</v>
      </c>
      <c r="E164" s="87" t="s">
        <v>775</v>
      </c>
      <c r="F164" s="87" t="s">
        <v>458</v>
      </c>
      <c r="G164" s="87" t="s">
        <v>361</v>
      </c>
      <c r="H164" s="87" t="s">
        <v>361</v>
      </c>
      <c r="I164" s="87" t="s">
        <v>361</v>
      </c>
      <c r="J164" s="87"/>
      <c r="K164" s="87"/>
      <c r="L164" s="87"/>
      <c r="M164" s="87"/>
      <c r="N164" s="87" t="s">
        <v>776</v>
      </c>
      <c r="O164" s="87" t="s">
        <v>480</v>
      </c>
    </row>
    <row r="165" customFormat="false" ht="22.35" hidden="false" customHeight="false" outlineLevel="0" collapsed="false">
      <c r="A165" s="87" t="s">
        <v>777</v>
      </c>
      <c r="B165" s="87" t="n">
        <v>161</v>
      </c>
      <c r="C165" s="87" t="s">
        <v>750</v>
      </c>
      <c r="D165" s="87" t="s">
        <v>491</v>
      </c>
      <c r="E165" s="87" t="s">
        <v>778</v>
      </c>
      <c r="F165" s="87" t="s">
        <v>488</v>
      </c>
      <c r="G165" s="87" t="s">
        <v>237</v>
      </c>
      <c r="H165" s="87" t="s">
        <v>237</v>
      </c>
      <c r="I165" s="87" t="s">
        <v>237</v>
      </c>
      <c r="J165" s="87"/>
      <c r="K165" s="87"/>
      <c r="L165" s="87"/>
      <c r="M165" s="87"/>
      <c r="N165" s="87" t="s">
        <v>461</v>
      </c>
      <c r="O165" s="87" t="s">
        <v>435</v>
      </c>
    </row>
    <row r="166" customFormat="false" ht="22.35" hidden="false" customHeight="false" outlineLevel="0" collapsed="false">
      <c r="A166" s="87" t="s">
        <v>779</v>
      </c>
      <c r="B166" s="87" t="n">
        <v>162</v>
      </c>
      <c r="C166" s="87" t="s">
        <v>750</v>
      </c>
      <c r="D166" s="87" t="s">
        <v>491</v>
      </c>
      <c r="E166" s="87" t="s">
        <v>493</v>
      </c>
      <c r="F166" s="87" t="s">
        <v>488</v>
      </c>
      <c r="G166" s="87" t="s">
        <v>361</v>
      </c>
      <c r="H166" s="87" t="s">
        <v>237</v>
      </c>
      <c r="I166" s="87" t="s">
        <v>361</v>
      </c>
      <c r="J166" s="87"/>
      <c r="K166" s="87"/>
      <c r="L166" s="87"/>
      <c r="M166" s="87"/>
      <c r="N166" s="87" t="s">
        <v>461</v>
      </c>
      <c r="O166" s="87" t="s">
        <v>440</v>
      </c>
    </row>
    <row r="167" customFormat="false" ht="22.35" hidden="false" customHeight="false" outlineLevel="0" collapsed="false">
      <c r="A167" s="87" t="s">
        <v>780</v>
      </c>
      <c r="B167" s="87" t="n">
        <v>163</v>
      </c>
      <c r="C167" s="87" t="s">
        <v>750</v>
      </c>
      <c r="D167" s="87" t="s">
        <v>491</v>
      </c>
      <c r="E167" s="87" t="s">
        <v>497</v>
      </c>
      <c r="F167" s="87" t="s">
        <v>488</v>
      </c>
      <c r="G167" s="87" t="s">
        <v>237</v>
      </c>
      <c r="H167" s="87" t="s">
        <v>237</v>
      </c>
      <c r="I167" s="87" t="s">
        <v>237</v>
      </c>
      <c r="J167" s="87"/>
      <c r="K167" s="87"/>
      <c r="L167" s="87"/>
      <c r="M167" s="87"/>
      <c r="N167" s="87" t="s">
        <v>461</v>
      </c>
      <c r="O167" s="87" t="s">
        <v>435</v>
      </c>
    </row>
    <row r="168" customFormat="false" ht="32.8" hidden="false" customHeight="false" outlineLevel="0" collapsed="false">
      <c r="A168" s="87" t="s">
        <v>781</v>
      </c>
      <c r="B168" s="87" t="n">
        <v>164</v>
      </c>
      <c r="C168" s="87" t="s">
        <v>750</v>
      </c>
      <c r="D168" s="87" t="s">
        <v>491</v>
      </c>
      <c r="E168" s="87" t="s">
        <v>501</v>
      </c>
      <c r="F168" s="87" t="s">
        <v>488</v>
      </c>
      <c r="G168" s="87" t="s">
        <v>237</v>
      </c>
      <c r="H168" s="87" t="s">
        <v>361</v>
      </c>
      <c r="I168" s="87" t="s">
        <v>361</v>
      </c>
      <c r="J168" s="87"/>
      <c r="K168" s="87"/>
      <c r="L168" s="87"/>
      <c r="M168" s="87"/>
      <c r="N168" s="87" t="s">
        <v>504</v>
      </c>
      <c r="O168" s="87" t="s">
        <v>505</v>
      </c>
    </row>
    <row r="169" customFormat="false" ht="22.35" hidden="false" customHeight="false" outlineLevel="0" collapsed="false">
      <c r="A169" s="87" t="s">
        <v>782</v>
      </c>
      <c r="B169" s="87" t="n">
        <v>165</v>
      </c>
      <c r="C169" s="87" t="s">
        <v>750</v>
      </c>
      <c r="D169" s="87" t="s">
        <v>491</v>
      </c>
      <c r="E169" s="87" t="s">
        <v>507</v>
      </c>
      <c r="F169" s="87" t="s">
        <v>488</v>
      </c>
      <c r="G169" s="87" t="s">
        <v>237</v>
      </c>
      <c r="H169" s="87" t="s">
        <v>237</v>
      </c>
      <c r="I169" s="87" t="s">
        <v>361</v>
      </c>
      <c r="J169" s="87"/>
      <c r="K169" s="87"/>
      <c r="L169" s="87"/>
      <c r="M169" s="87"/>
      <c r="N169" s="87" t="s">
        <v>461</v>
      </c>
      <c r="O169" s="87" t="s">
        <v>510</v>
      </c>
    </row>
  </sheetData>
  <sheetProtection sheet="true" formatColumns="false" formatRows="false"/>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BenefitPartner · The Business Case Method&amp;R&amp;8 benefitpartner.dk · &amp;P / &amp;N</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00"/>
  </cols>
  <sheetData>
    <row r="1" customFormat="false" ht="54" hidden="false" customHeight="true" outlineLevel="0" collapsed="false">
      <c r="A1" s="1" t="s">
        <v>783</v>
      </c>
      <c r="C1" s="35" t="str">
        <f aca="false">HYPERLINK("#'Start Here'!A4","← Case Map")</f>
        <v>← Case Map</v>
      </c>
    </row>
    <row r="3" customFormat="false" ht="15" hidden="false" customHeight="false" outlineLevel="0" collapsed="false">
      <c r="A3" s="5" t="s">
        <v>784</v>
      </c>
      <c r="B3" s="5" t="s">
        <v>82</v>
      </c>
    </row>
    <row r="4" customFormat="false" ht="15" hidden="false" customHeight="false" outlineLevel="0" collapsed="false">
      <c r="A4" s="86" t="s">
        <v>785</v>
      </c>
      <c r="B4" s="88" t="s">
        <v>786</v>
      </c>
    </row>
    <row r="5" customFormat="false" ht="15" hidden="false" customHeight="false" outlineLevel="0" collapsed="false">
      <c r="A5" s="86" t="s">
        <v>787</v>
      </c>
      <c r="B5" s="88" t="s">
        <v>788</v>
      </c>
    </row>
    <row r="6" customFormat="false" ht="15" hidden="false" customHeight="false" outlineLevel="0" collapsed="false">
      <c r="A6" s="86" t="s">
        <v>789</v>
      </c>
      <c r="B6" s="88" t="s">
        <v>790</v>
      </c>
    </row>
    <row r="7" customFormat="false" ht="15" hidden="false" customHeight="false" outlineLevel="0" collapsed="false">
      <c r="A7" s="86" t="s">
        <v>94</v>
      </c>
      <c r="B7" s="88" t="s">
        <v>791</v>
      </c>
    </row>
    <row r="8" customFormat="false" ht="15" hidden="false" customHeight="false" outlineLevel="0" collapsed="false">
      <c r="A8" s="86" t="s">
        <v>63</v>
      </c>
      <c r="B8" s="88" t="s">
        <v>792</v>
      </c>
    </row>
    <row r="9" customFormat="false" ht="15" hidden="false" customHeight="false" outlineLevel="0" collapsed="false">
      <c r="A9" s="86" t="s">
        <v>65</v>
      </c>
      <c r="B9" s="88" t="s">
        <v>793</v>
      </c>
    </row>
    <row r="10" customFormat="false" ht="15" hidden="false" customHeight="false" outlineLevel="0" collapsed="false">
      <c r="A10" s="86" t="s">
        <v>67</v>
      </c>
      <c r="B10" s="88" t="s">
        <v>794</v>
      </c>
    </row>
    <row r="11" customFormat="false" ht="15" hidden="false" customHeight="false" outlineLevel="0" collapsed="false">
      <c r="A11" s="86" t="s">
        <v>795</v>
      </c>
      <c r="B11" s="88" t="s">
        <v>796</v>
      </c>
    </row>
    <row r="12" customFormat="false" ht="15" hidden="false" customHeight="false" outlineLevel="0" collapsed="false">
      <c r="A12" s="86" t="s">
        <v>797</v>
      </c>
      <c r="B12" s="88" t="s">
        <v>798</v>
      </c>
    </row>
    <row r="13" customFormat="false" ht="23.85" hidden="false" customHeight="false" outlineLevel="0" collapsed="false">
      <c r="A13" s="86" t="s">
        <v>799</v>
      </c>
      <c r="B13" s="88" t="s">
        <v>800</v>
      </c>
    </row>
    <row r="14" customFormat="false" ht="15" hidden="false" customHeight="false" outlineLevel="0" collapsed="false">
      <c r="A14" s="86" t="s">
        <v>801</v>
      </c>
      <c r="B14" s="88" t="s">
        <v>802</v>
      </c>
    </row>
    <row r="15" customFormat="false" ht="15" hidden="false" customHeight="false" outlineLevel="0" collapsed="false">
      <c r="A15" s="86" t="s">
        <v>803</v>
      </c>
      <c r="B15" s="88" t="s">
        <v>804</v>
      </c>
    </row>
    <row r="16" customFormat="false" ht="23.85" hidden="false" customHeight="false" outlineLevel="0" collapsed="false">
      <c r="A16" s="86" t="s">
        <v>24</v>
      </c>
      <c r="B16" s="88" t="s">
        <v>805</v>
      </c>
    </row>
    <row r="17" customFormat="false" ht="15" hidden="false" customHeight="false" outlineLevel="0" collapsed="false">
      <c r="A17" s="86" t="s">
        <v>806</v>
      </c>
      <c r="B17" s="88" t="s">
        <v>807</v>
      </c>
    </row>
    <row r="18" customFormat="false" ht="15" hidden="false" customHeight="false" outlineLevel="0" collapsed="false">
      <c r="A18" s="86" t="s">
        <v>808</v>
      </c>
      <c r="B18" s="88" t="s">
        <v>809</v>
      </c>
    </row>
    <row r="19" customFormat="false" ht="23.85" hidden="false" customHeight="false" outlineLevel="0" collapsed="false">
      <c r="A19" s="86" t="s">
        <v>810</v>
      </c>
      <c r="B19" s="88" t="s">
        <v>811</v>
      </c>
    </row>
    <row r="20" customFormat="false" ht="23.85" hidden="false" customHeight="false" outlineLevel="0" collapsed="false">
      <c r="A20" s="86" t="s">
        <v>812</v>
      </c>
      <c r="B20" s="88" t="s">
        <v>813</v>
      </c>
    </row>
    <row r="21" customFormat="false" ht="23.85" hidden="false" customHeight="false" outlineLevel="0" collapsed="false">
      <c r="A21" s="86" t="s">
        <v>814</v>
      </c>
      <c r="B21" s="88" t="s">
        <v>815</v>
      </c>
    </row>
    <row r="22" customFormat="false" ht="15" hidden="false" customHeight="false" outlineLevel="0" collapsed="false">
      <c r="A22" s="86" t="s">
        <v>816</v>
      </c>
      <c r="B22" s="88" t="s">
        <v>817</v>
      </c>
    </row>
    <row r="23" customFormat="false" ht="15" hidden="false" customHeight="false" outlineLevel="0" collapsed="false">
      <c r="A23" s="86" t="s">
        <v>818</v>
      </c>
      <c r="B23" s="88" t="s">
        <v>819</v>
      </c>
    </row>
    <row r="24" customFormat="false" ht="15" hidden="false" customHeight="false" outlineLevel="0" collapsed="false">
      <c r="A24" s="86" t="s">
        <v>401</v>
      </c>
      <c r="B24" s="88" t="s">
        <v>820</v>
      </c>
    </row>
    <row r="25" customFormat="false" ht="15" hidden="false" customHeight="false" outlineLevel="0" collapsed="false">
      <c r="A25" s="86" t="s">
        <v>821</v>
      </c>
      <c r="B25" s="88" t="s">
        <v>822</v>
      </c>
    </row>
    <row r="26" customFormat="false" ht="15" hidden="false" customHeight="false" outlineLevel="0" collapsed="false">
      <c r="A26" s="86" t="s">
        <v>80</v>
      </c>
      <c r="B26" s="88" t="s">
        <v>823</v>
      </c>
    </row>
    <row r="27" customFormat="false" ht="15" hidden="false" customHeight="false" outlineLevel="0" collapsed="false">
      <c r="A27" s="86" t="s">
        <v>824</v>
      </c>
      <c r="B27" s="88" t="s">
        <v>825</v>
      </c>
    </row>
    <row r="28" customFormat="false" ht="15" hidden="false" customHeight="false" outlineLevel="0" collapsed="false">
      <c r="A28" s="86" t="s">
        <v>826</v>
      </c>
      <c r="B28" s="88" t="s">
        <v>827</v>
      </c>
    </row>
    <row r="29" customFormat="false" ht="15" hidden="false" customHeight="false" outlineLevel="0" collapsed="false">
      <c r="A29" s="86" t="s">
        <v>89</v>
      </c>
      <c r="B29" s="88" t="s">
        <v>828</v>
      </c>
    </row>
    <row r="30" customFormat="false" ht="15" hidden="false" customHeight="false" outlineLevel="0" collapsed="false">
      <c r="A30" s="86" t="s">
        <v>829</v>
      </c>
      <c r="B30" s="88" t="s">
        <v>830</v>
      </c>
    </row>
    <row r="31" customFormat="false" ht="15" hidden="false" customHeight="false" outlineLevel="0" collapsed="false">
      <c r="A31" s="86" t="s">
        <v>831</v>
      </c>
      <c r="B31" s="88" t="s">
        <v>832</v>
      </c>
    </row>
    <row r="32" customFormat="false" ht="15" hidden="false" customHeight="false" outlineLevel="0" collapsed="false">
      <c r="A32" s="86" t="s">
        <v>833</v>
      </c>
      <c r="B32" s="88" t="s">
        <v>834</v>
      </c>
    </row>
  </sheetData>
  <sheetProtection sheet="true" formatColumns="false" formatRows="false"/>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BenefitPartner · The Business Case Method&amp;R&amp;8 benefitpartner.dk · &amp;P /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2026-09-30T05:44:44Z</dcterms:created>
  <dc:creator>openpyxl</dc:creator>
  <dc:description/>
  <dc:language>en-US</dc:language>
  <cp:lastModifiedBy/>
  <dcterms:modified xsi:type="dcterms:W3CDTF">2026-09-30T05:44:45Z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